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3670DC30-2887-425F-AC0F-279F926A9EE3}" xr6:coauthVersionLast="47" xr6:coauthVersionMax="47" xr10:uidLastSave="{00000000-0000-0000-0000-000000000000}"/>
  <workbookProtection workbookAlgorithmName="SHA-512" workbookHashValue="jressr+zmes0vDZ3Bv/grQ1hfZvt86E53eGyh1uCn1KhZ/XpvrOj1SItXvhhwiixFowtktIkzZ7rW2xpx/wcvQ==" workbookSaltValue="ywXOQ4LHjpQn3tZrBN4Pxg==" workbookSpinCount="100000" lockStructure="1"/>
  <bookViews>
    <workbookView xWindow="-120" yWindow="-120" windowWidth="29040" windowHeight="15840" xr2:uid="{00000000-000D-0000-FFFF-FFFF00000000}"/>
  </bookViews>
  <sheets>
    <sheet name="1. Calculadora de AYUDA - RR345" sheetId="3" r:id="rId1"/>
    <sheet name="2. Complemento VULNERABILIDAD" sheetId="4" r:id="rId2"/>
    <sheet name="3. Deducciones Fiscales" sheetId="5" r:id="rId3"/>
    <sheet name="4. Resumen AYUDAS RR345" sheetId="6" r:id="rId4"/>
    <sheet name="Full1" sheetId="2" state="hidden" r:id="rId5"/>
  </sheets>
  <definedNames>
    <definedName name="_xlnm.Print_Area" localSheetId="0">'1. Calculadora de AYUDA - RR345'!$A$1:$B$65</definedName>
    <definedName name="_xlnm.Print_Area" localSheetId="2">'3. Deducciones Fiscales'!$A$1:$B$28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D17" i="4" l="1"/>
  <c r="C15" i="4" l="1"/>
  <c r="C26" i="4" s="1"/>
  <c r="C11" i="3" l="1"/>
  <c r="B36" i="3" l="1"/>
  <c r="B61" i="3"/>
  <c r="B62" i="3"/>
  <c r="B56" i="3"/>
  <c r="C8" i="5"/>
  <c r="B40" i="3" l="1"/>
  <c r="C11" i="5"/>
  <c r="B16" i="5" l="1"/>
  <c r="B15" i="5"/>
  <c r="B17" i="5"/>
  <c r="B14" i="5"/>
  <c r="B19" i="5"/>
  <c r="B18" i="5"/>
  <c r="B26" i="5"/>
  <c r="C22" i="4" l="1"/>
  <c r="D22" i="4" s="1"/>
  <c r="D11" i="4" l="1"/>
  <c r="D26" i="4"/>
  <c r="C27" i="4" l="1"/>
  <c r="C19" i="3"/>
  <c r="B20" i="3"/>
  <c r="A23" i="3" l="1"/>
  <c r="A22" i="3"/>
  <c r="A20" i="3"/>
  <c r="A21" i="3"/>
  <c r="C34" i="3"/>
  <c r="C36" i="3" s="1"/>
  <c r="C33" i="3"/>
  <c r="B35" i="3" l="1"/>
  <c r="C22" i="3"/>
  <c r="C23" i="3"/>
  <c r="C21" i="3"/>
  <c r="C20" i="3" l="1"/>
  <c r="B30" i="3" s="1"/>
  <c r="B58" i="3" l="1"/>
  <c r="B60" i="3" s="1"/>
  <c r="C8" i="3" l="1"/>
  <c r="B37" i="3" l="1"/>
  <c r="B52" i="3"/>
  <c r="C27" i="3"/>
  <c r="B25" i="3" s="1"/>
  <c r="C39" i="3" l="1"/>
  <c r="B38" i="3"/>
  <c r="B39" i="3"/>
  <c r="B42" i="3"/>
  <c r="C45" i="3" s="1"/>
  <c r="B53" i="3"/>
  <c r="B49" i="3"/>
  <c r="C51" i="3" s="1"/>
  <c r="C37" i="3"/>
  <c r="B54" i="3"/>
  <c r="B46" i="3"/>
  <c r="B48" i="3" s="1"/>
  <c r="C40" i="3" l="1"/>
  <c r="C32" i="3" s="1"/>
  <c r="B41" i="3"/>
  <c r="B63" i="3" s="1"/>
  <c r="C60" i="3"/>
  <c r="B55" i="3"/>
  <c r="C55" i="3" s="1"/>
  <c r="C41" i="3" l="1"/>
  <c r="C24" i="4" s="1"/>
  <c r="C50" i="3"/>
  <c r="C57" i="3"/>
  <c r="C23" i="4" s="1"/>
  <c r="B21" i="5" s="1"/>
  <c r="B6" i="6" l="1"/>
  <c r="C63" i="3"/>
  <c r="C29" i="4"/>
  <c r="C28" i="4"/>
  <c r="C21" i="4"/>
  <c r="C31" i="4" l="1"/>
  <c r="C30" i="4" s="1"/>
  <c r="B7" i="6" l="1"/>
  <c r="B23" i="5"/>
  <c r="B24" i="5" s="1"/>
  <c r="B25" i="5" s="1"/>
  <c r="B27" i="5" s="1"/>
  <c r="C27" i="5" s="1"/>
  <c r="B8" i="6" s="1"/>
  <c r="B9" i="6" s="1"/>
  <c r="D31" i="4"/>
  <c r="B22" i="5" s="1"/>
  <c r="D3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4" authorId="0" shapeId="0" xr:uid="{00000000-0006-0000-0000-000001000000}">
      <text>
        <r>
          <rPr>
            <b/>
            <sz val="9"/>
            <color indexed="81"/>
            <rFont val="Tahoma"/>
            <family val="2"/>
          </rPr>
          <t>Año de finalización:</t>
        </r>
        <r>
          <rPr>
            <sz val="9"/>
            <color indexed="81"/>
            <rFont val="Tahoma"/>
            <family val="2"/>
          </rPr>
          <t xml:space="preserve"> El Programa 5 solo será de apliación en inmuebles con fecha de finalización anterior al año 2000.
</t>
        </r>
      </text>
    </comment>
    <comment ref="A29" authorId="0" shapeId="0" xr:uid="{00000000-0006-0000-0000-000002000000}">
      <text>
        <r>
          <rPr>
            <b/>
            <sz val="9"/>
            <color indexed="81"/>
            <rFont val="Tahoma"/>
            <family val="2"/>
          </rPr>
          <t xml:space="preserve">Datos económicos: </t>
        </r>
        <r>
          <rPr>
            <sz val="9"/>
            <color indexed="81"/>
            <rFont val="Tahoma"/>
            <family val="2"/>
          </rPr>
          <t>Cumplimentar únicamente los programas incluídos en el tipo de actuación solicitada.</t>
        </r>
      </text>
    </comment>
    <comment ref="A32" authorId="0" shapeId="0" xr:uid="{00000000-0006-0000-0000-000003000000}">
      <text>
        <r>
          <rPr>
            <b/>
            <sz val="9"/>
            <color indexed="81"/>
            <rFont val="Tahoma"/>
            <family val="2"/>
          </rPr>
          <t xml:space="preserve">Costes subvencionables: </t>
        </r>
        <r>
          <rPr>
            <sz val="9"/>
            <color indexed="81"/>
            <rFont val="Tahoma"/>
            <family val="2"/>
          </rPr>
          <t xml:space="preserve">los costes de gestión inherentes al desarrollo de las actuaciones y los gastos asociados, los honorarios de los profesionales intervinientes en la gestión y desarrollo de las actuaciones, el coste de la redacción de los proyectos, informes técnicos y certificados necesarios, los gastos derivados de la tramitación administrativa, y otros gastos generales similares, siempre que todos ellos estén debidamente justificados con el límite que corresponda según lo previsto en este artículo. No se consideran costes subvencionables los correspondientes a licencias, tasas, impuestos o tributos. No obstante, el IVA o el impuesto indirecto equivalente, podrán ser considerados elegibles siempre y cuando no puedan ser susceptibles de recuperación o compensación total o parcial.
</t>
        </r>
      </text>
    </comment>
    <comment ref="A33" authorId="0" shapeId="0" xr:uid="{00000000-0006-0000-0000-000004000000}">
      <text>
        <r>
          <rPr>
            <b/>
            <sz val="9"/>
            <color indexed="81"/>
            <rFont val="Tahoma"/>
            <family val="2"/>
          </rPr>
          <t xml:space="preserve">Amianto: </t>
        </r>
        <r>
          <rPr>
            <sz val="9"/>
            <color indexed="81"/>
            <rFont val="Tahoma"/>
            <family val="2"/>
          </rPr>
          <t xml:space="preserve">La retirada deberá realizarse conforme a lo establecido en el Real Decreto 396/2006, de 31 de marzo, por el que se establecen las disposiciones mínimas de seguridad y salud aplicables a los trabajos con riesgo de exposición al amianto, por una empresa legalmente autorizada. La gestión de los residuos originados en el proceso deberá realizarse conforme a lo establecido en el Real Decreto 105/2008, de 1 de febrero, por el que se regula la producción y gestión de los residuos de construcción y demolición.
</t>
        </r>
      </text>
    </comment>
    <comment ref="A35" authorId="0" shapeId="0" xr:uid="{00000000-0006-0000-0000-000005000000}">
      <text>
        <r>
          <rPr>
            <b/>
            <sz val="9"/>
            <color indexed="81"/>
            <rFont val="Tahoma"/>
            <family val="2"/>
          </rPr>
          <t xml:space="preserve">Incremento ayuda retirada AMIANTO: </t>
        </r>
        <r>
          <rPr>
            <sz val="9"/>
            <color indexed="81"/>
            <rFont val="Tahoma"/>
            <family val="2"/>
          </rPr>
          <t>En aquellos casos en los que haya que proceder a la retirada de elementos con amianto, podrá incrementarse la cuantía máxima de la ayuda en la cantidad correspondiente a los costes debidos a la retirada, la manipulación, el transporte y la gestión de los residuos de amianto mediante empresas autorizadas, hasta un máximo de 1.000 euros por vivienda o 12.000 euros por edificio objeto de rehabilitación.</t>
        </r>
      </text>
    </comment>
    <comment ref="A36" authorId="0" shapeId="0" xr:uid="{00000000-0006-0000-0000-000006000000}">
      <text>
        <r>
          <rPr>
            <b/>
            <sz val="9"/>
            <color indexed="81"/>
            <rFont val="Tahoma"/>
            <family val="2"/>
          </rPr>
          <t xml:space="preserve">Costes subvencionables: </t>
        </r>
        <r>
          <rPr>
            <sz val="9"/>
            <color indexed="81"/>
            <rFont val="Tahoma"/>
            <family val="2"/>
          </rPr>
          <t>Cuando el proyecto haya recibido subvención con cargo al programa 5, para la redacción de proyectos de rehabilitación, se descontará la cantidad recibida de la cuantía de la subvención con cargo a este programa. La determinación de la cuantía máxima de la ayuda con cargo a este programa se determinará incluyendo el coste del proyecto en la inversión subvencionable y descontando de dicha cuantía máxima, la ayuda que hubiese sido concedida dentro del programa 5 para la redacción del proyecto.</t>
        </r>
        <r>
          <rPr>
            <sz val="9"/>
            <color indexed="81"/>
            <rFont val="Tahoma"/>
            <family val="2"/>
          </rPr>
          <t xml:space="preserve">
</t>
        </r>
      </text>
    </comment>
    <comment ref="A44" authorId="0" shapeId="0" xr:uid="{00000000-0006-0000-0000-000007000000}">
      <text>
        <r>
          <rPr>
            <b/>
            <sz val="9"/>
            <color indexed="81"/>
            <rFont val="Tahoma"/>
            <family val="2"/>
          </rPr>
          <t xml:space="preserve">Costes subvencionables: </t>
        </r>
        <r>
          <rPr>
            <sz val="9"/>
            <color indexed="81"/>
            <rFont val="Tahoma"/>
            <family val="2"/>
          </rPr>
          <t>En el importe objeto de subvención podrán incluirse los honorarios de los profesionales intervinientes, el coste de la redacción de los proyectos, informes técnicos y certificados necesarios, los gastos derivados de la tramitación administrativa, y otros gastos generales similares, siempre que todos ellos estén debidamente justificados. No se consideran costes subvencionables los correspondientes a licencias, tasas, impuestos o tributos. No obstante, el IVA o el impuesto indirecto equivalente, podrán ser considerados elegibles siempre y cuando no puedan ser susceptibles de recuperación o compensación total o parcial.
El coste mínimo de la actuación ha de ser igual o superior a 1.000 euros por vivienda.</t>
        </r>
      </text>
    </comment>
    <comment ref="A56" authorId="0" shapeId="0" xr:uid="{00000000-0006-0000-0000-000008000000}">
      <text>
        <r>
          <rPr>
            <sz val="9"/>
            <color indexed="81"/>
            <rFont val="Tahoma"/>
            <family val="2"/>
          </rPr>
          <t>En caso de solicitar el PROGRAMA 3, se recomienda imputar el coste del proyecto en la casilla de "Coste de la actuación subvencionable" (B32)</t>
        </r>
      </text>
    </comment>
  </commentList>
</comments>
</file>

<file path=xl/sharedStrings.xml><?xml version="1.0" encoding="utf-8"?>
<sst xmlns="http://schemas.openxmlformats.org/spreadsheetml/2006/main" count="171" uniqueCount="130">
  <si>
    <t>CALCULADORA DE AYUDAS PROGRAMA RR345</t>
  </si>
  <si>
    <t>EXPEDIENTE Nº:</t>
  </si>
  <si>
    <t>NOTA: CUMPLIMENTAR ÚNICAMENTE LAS CELDAS CON FONDO VERDE</t>
  </si>
  <si>
    <t>TIPO DE SOLICITANTE</t>
  </si>
  <si>
    <t>1. Propietario o usufructuario (persona física o jurídica) de vivienda unifamiliar aislada o agrupada en fila o edificios de tipología residencial
colectiva (Programas 3, 4, 5).</t>
  </si>
  <si>
    <t>TIPO DE ACTUACIÓN</t>
  </si>
  <si>
    <t>Elegir</t>
  </si>
  <si>
    <t>CARACTERÍSTICAS FÍSICAS DEL INMUEBLE</t>
  </si>
  <si>
    <t>Año finalización inmueble</t>
  </si>
  <si>
    <t>Número de viviendas</t>
  </si>
  <si>
    <t>Superficie locales (m²)</t>
  </si>
  <si>
    <t>CARACTERÍSTICAS ENERGÉTICAS DE LA ACTUACIÓN</t>
  </si>
  <si>
    <t>TIPO DE PROGRAMA / ZONA CLIMÁTICA</t>
  </si>
  <si>
    <t>% REDUCCIÓN VALORES ENERGÉTICOS</t>
  </si>
  <si>
    <t>Tipo 1</t>
  </si>
  <si>
    <t>Indicar el % reducción en los siguientes valores energéticos:</t>
  </si>
  <si>
    <t>1. Reducción consumo energía primaria no renovable</t>
  </si>
  <si>
    <t>2. Reducción demanda energética anual global calefacción-refrigeración</t>
  </si>
  <si>
    <t>CARACTERÍSTICAS ECONÓMICAS DE LA ACTUACIÓN</t>
  </si>
  <si>
    <t>PROGRAMA 3. Programa de ayuda a las actuaciones de rehabilitación a nivel de edificios.</t>
  </si>
  <si>
    <t>Inversión total</t>
  </si>
  <si>
    <t>Coste de la actuación subvencionable</t>
  </si>
  <si>
    <t>Se retira del edificio o ámbito de actuación aquellos productos de construcción que contengan AMIANTO</t>
  </si>
  <si>
    <t>Coste de retirada, manipulación, transporte y gestión de residuos de AMIANTO mediante empresas autorizadas</t>
  </si>
  <si>
    <t>Incremento de la cuantía máxima de la ayuda para la retirada de AMIANTO</t>
  </si>
  <si>
    <t>Coste de la actuación subvencionable + coste redacción proyecto rehabilitación (P5.2)</t>
  </si>
  <si>
    <t>Porcentaje máximo de la subvención</t>
  </si>
  <si>
    <t>Cuantía de la ayuda según porcentaje máximo de subvención</t>
  </si>
  <si>
    <t>Cuantía máxima de la ayuda en caso de solicitud ayuda redaccíón proyecto rehabilitación (P5.2)</t>
  </si>
  <si>
    <t>Cuantía de ayuda concedida con cargo al PROGRAMA 3</t>
  </si>
  <si>
    <t>PROGRAMA 4. Programa de ayuda a las actuaciones de mejora de la eficiencia en viviendas.</t>
  </si>
  <si>
    <t>Cuantía máxima de la ayuda</t>
  </si>
  <si>
    <t>Cuantía de ayuda concedida con cargo al PROGRAMA 4</t>
  </si>
  <si>
    <t>PROGRAMA 5.1. Programa de Elaboración del Libro del Edificio Existente para la rehabilitación.</t>
  </si>
  <si>
    <t>Coste de honorarios del LIBRO DE EDIFICIO EXISTENTE (teniendo en cuenta redacción de IEE o ITE)</t>
  </si>
  <si>
    <t>¿Se complementa el LIBRO DE EDIFICIO EXISTENTE con IEE o ITE?</t>
  </si>
  <si>
    <t>Cuantía de la ayuda máxima según número de viviendas</t>
  </si>
  <si>
    <t>Cuantía de la ayuda máxima teniendo en cuenta la inclusión de IEE o ITE</t>
  </si>
  <si>
    <t>Cuantía máxima posible de la ayuda para el PROGRAMA 5.1</t>
  </si>
  <si>
    <t>Cuantía de ayuda concedida con cargo al PROGRAMA 5.1</t>
  </si>
  <si>
    <t>PROGRAMA 5.2. Programa de Redacción de Proyecto Técnico de Rehabilitación Integral de edificio.</t>
  </si>
  <si>
    <t>Coste de honorarios del PROYECTO TÉCNICO DE REHABILITACIÓN INTEGRAL DEL EDIFICIO</t>
  </si>
  <si>
    <t>Cuantía máxima de la ayuda para el PROGRAMA 5.2</t>
  </si>
  <si>
    <t>Cuantía de ayuda concedida con cargo al PROGRAMA 5.2</t>
  </si>
  <si>
    <t>Inversión TOTAL</t>
  </si>
  <si>
    <t>Coste de la actuación subvencionable TOTAL</t>
  </si>
  <si>
    <r>
      <rPr>
        <b/>
        <sz val="11"/>
        <color rgb="FFFF0000"/>
        <rFont val="Calibri"/>
        <family val="2"/>
        <scheme val="minor"/>
      </rPr>
      <t>IMPORTANTE</t>
    </r>
    <r>
      <rPr>
        <sz val="11"/>
        <color rgb="FFFF0000"/>
        <rFont val="Calibri"/>
        <family val="2"/>
        <scheme val="minor"/>
      </rPr>
      <t>: Los datos obtenidos con el uso de estas herramientas tienen carácter meramente informativo, sin que en ningún caso pueda derivarse efecto jurídico vinculante alguno con esta Administración.</t>
    </r>
  </si>
  <si>
    <t>COMPLEMENTO VULNERABILIDAD  PROGRAMA RR345</t>
  </si>
  <si>
    <t>TIPO DE INMUEBLE</t>
  </si>
  <si>
    <t>INFORMACIÓN DE LA UNIDAD DE CONVIVENCIA</t>
  </si>
  <si>
    <t>Coeficiente multiplicador ingresos según nº miembros</t>
  </si>
  <si>
    <t>Renta de la unidad familiar *1</t>
  </si>
  <si>
    <t>CARACTERÍSTICAS DE LA ACTUACIÓN</t>
  </si>
  <si>
    <t>NOTA: Datos obtenidos de la pestaña "1. Calculadora de AYUDA - RR345"</t>
  </si>
  <si>
    <t>Porcentaje de reducción consumo energía primaria no renovable (Δcep,nren&gt;30%)</t>
  </si>
  <si>
    <t>Coste de la actuación subvencionable (P3 + P5.2 por vivienda)</t>
  </si>
  <si>
    <t>Cuantía de ayuda concedida  (P3 + P5.2 por vivienda)</t>
  </si>
  <si>
    <t>Porcentaje adicional de ayuda por criterio de vulnerabilidad</t>
  </si>
  <si>
    <t>Ayuda adicional por vulnerabilidad</t>
  </si>
  <si>
    <t>Importe máximo de ayuda</t>
  </si>
  <si>
    <t>Cuantía de ayuda adicional por criterio de vulnerabilidad</t>
  </si>
  <si>
    <t>DEDUCCIONES FISCALES PROGRAMA RR345</t>
  </si>
  <si>
    <t>INFORMACIÓN DE LA DEDUCCIÓN FISCAL</t>
  </si>
  <si>
    <r>
      <t xml:space="preserve">Fecha del Certificado de Eficiencia Energética </t>
    </r>
    <r>
      <rPr>
        <b/>
        <sz val="11"/>
        <color theme="1"/>
        <rFont val="Calibri"/>
        <family val="2"/>
        <scheme val="minor"/>
      </rPr>
      <t>antes</t>
    </r>
    <r>
      <rPr>
        <sz val="11"/>
        <color theme="1"/>
        <rFont val="Calibri"/>
        <family val="2"/>
        <scheme val="minor"/>
      </rPr>
      <t xml:space="preserve"> de la Actuación</t>
    </r>
  </si>
  <si>
    <r>
      <t xml:space="preserve">Fecha del Certificado de Eficiencia Energética </t>
    </r>
    <r>
      <rPr>
        <b/>
        <sz val="11"/>
        <color theme="1"/>
        <rFont val="Calibri"/>
        <family val="2"/>
        <scheme val="minor"/>
      </rPr>
      <t>después</t>
    </r>
    <r>
      <rPr>
        <sz val="11"/>
        <color theme="1"/>
        <rFont val="Calibri"/>
        <family val="2"/>
        <scheme val="minor"/>
      </rPr>
      <t xml:space="preserve"> de la Actuación</t>
    </r>
  </si>
  <si>
    <t>Características del contribuyente objeto de la deducción</t>
  </si>
  <si>
    <t>Porcentaje de deducción sobre inversión total excluidas subvenciones y pagos en efectivo</t>
  </si>
  <si>
    <t>Base máxima de decucción</t>
  </si>
  <si>
    <t>Momento de presentación de la deducción fiscal</t>
  </si>
  <si>
    <t>Coste de la actuación subvencionable (A)</t>
  </si>
  <si>
    <t>Ayuda recibida por vulnerabilidad (B)</t>
  </si>
  <si>
    <t>Ayuda recibida (B)</t>
  </si>
  <si>
    <t>Base de deducción neta (A-B)</t>
  </si>
  <si>
    <t>Deducción neta</t>
  </si>
  <si>
    <t>Deducción neta máxima</t>
  </si>
  <si>
    <t>Importe a deducir en IRPF</t>
  </si>
  <si>
    <t>CÓMPUTO DE AYUDAS TOTALES PROGRAMA RR345</t>
  </si>
  <si>
    <t>1. Ayuda directa Programas RR345</t>
  </si>
  <si>
    <t>2. Complemento por Vulnerabilidad</t>
  </si>
  <si>
    <t>3. Deducción en IRPF</t>
  </si>
  <si>
    <t>TOTAL (1+2+3)</t>
  </si>
  <si>
    <t>AFIRMATIVO/NEGATIVO</t>
  </si>
  <si>
    <t>Sí</t>
  </si>
  <si>
    <t>No</t>
  </si>
  <si>
    <t>TIPO DE PROGRAMA - ZONA CLIMÁTICA</t>
  </si>
  <si>
    <t>P3 - Zona Climática C</t>
  </si>
  <si>
    <t>P3 - Zona Climática D</t>
  </si>
  <si>
    <t>P3 - Zona Climática E</t>
  </si>
  <si>
    <t>P4</t>
  </si>
  <si>
    <t>Programa 3 (P3). Programa de ayuda a las actuaciones de rehabilitación a nivel de edificios.</t>
  </si>
  <si>
    <t>Programa 4 (P4). Programa de ayuda a las actuaciones de mejora de la eficiencia en viviendas.</t>
  </si>
  <si>
    <t>Programa 5 (P5.1 + P5.2). Programa de ayuda a la elaboración del libro del edificio existente y la redacción de proyecto de rehabilitación.</t>
  </si>
  <si>
    <t>Programa 5.1 (P5.1). Programa de Elaboración del Libro del Edificio Existente para la rehabilitación.</t>
  </si>
  <si>
    <t>Programa 5.2 (P5.2). Programa de Redacción de Proyecto Técnico de Rehabilitación Integral de edificio.</t>
  </si>
  <si>
    <t>Programa 3 (P3) + Programa 5 (P5.1 + P5.2). Programa de ayuda a las actuaciones de rehabilitación a nivel de edificios y Programa de ayuda a la elaboración del libro del edificio existente y la redacción de proyecto de rehabilitación.</t>
  </si>
  <si>
    <t>Programa 3 (P3) + Programa 5.1 (P5.1). Programa de ayuda a las actuaciones de rehabilitación a nivel de edificios y Programa de elaboración del Libro del Edificio Existente para la rehabilitación.</t>
  </si>
  <si>
    <t>Programa 3 (P3) + Programa 5.2 (P5.2). Programa de ayuda a las actuaciones de rehabilitación a nivel de edificios y Programa de Redacción de Proyecto Técnico de Rehabilitación Integral de edificio.</t>
  </si>
  <si>
    <t>Programa 4 (P4) + Programa 5.1 (P5.1). Programa de ayuda a las actuaciones de mejora de la eficiencia en viviendas y Programa de elaboración del Libro del Edificio Existente para la rehabilitación.</t>
  </si>
  <si>
    <t>TIPO DE DESTINATARIO</t>
  </si>
  <si>
    <t>2. Arrendatario de vivienda (Programa 4).</t>
  </si>
  <si>
    <t>3. Comunidad de Propietarios o Agrupación de Comunidades de Propietarios (artículo 5 de Ley 49/1960) (Programas 3, 5).</t>
  </si>
  <si>
    <t>4. Propietarios Agrupados (artículo 396 Código Civil). (Programas 3, 5).</t>
  </si>
  <si>
    <t>5. Empresa explotadora, arrendataria o concesionaria de edificio (Programa 3).</t>
  </si>
  <si>
    <t>6. Sociedades cooperativas (artículo 396 Código Civil). (Programas 3, 5).</t>
  </si>
  <si>
    <t>1. Vivienda en edificio plurifamiliar</t>
  </si>
  <si>
    <t>2. Vivienda unifamiliar</t>
  </si>
  <si>
    <t>MIEMBROS UNIDAD DE CONVIVENCIA</t>
  </si>
  <si>
    <t>Coeficiente corrector</t>
  </si>
  <si>
    <t>5 o más</t>
  </si>
  <si>
    <t>TIPO DE ACTUACIÓN DESGRAVACIÓN FISCAL</t>
  </si>
  <si>
    <r>
      <t xml:space="preserve">Reducción de la demanda combinada calefacción + refrigeración </t>
    </r>
    <r>
      <rPr>
        <sz val="11"/>
        <color theme="1"/>
        <rFont val="Calibri"/>
        <family val="2"/>
      </rPr>
      <t>≥ 7,00%</t>
    </r>
  </si>
  <si>
    <t>Reducción del consumo de energía primaria no renovable  ≥ 30,00%</t>
  </si>
  <si>
    <t>Mejora calificación energética del inmueble obtieniendo clase A o B</t>
  </si>
  <si>
    <t>TIPO DE INMUEBLE DESGRAVACIÓN FISCAL</t>
  </si>
  <si>
    <t>1. Vivienda habitual, alquilada o en espectativa de alquiler</t>
  </si>
  <si>
    <t>2. Vivienda que forma parte de edificio de uso residencial que se rehabilita energéticamente</t>
  </si>
  <si>
    <t>Programa 3 (P3). Programa de ayuda a las actuaciones de rehabilitación a nivel de edificios. + P5.2 en expediente relacionado</t>
  </si>
  <si>
    <t>Programa 3 (P3) + Programa 5.1 (P5.1). Programa de ayuda a las actuaciones de rehabilitación a nivel de edificios y Programa de elaboración del LEE. + P5.2 en expediente relacionado</t>
  </si>
  <si>
    <t>EXPEDIENTE RELACIONADO P5.2 Nº:</t>
  </si>
  <si>
    <t>Unidades de convivencia monoparentales con un menor o persona dependiente</t>
  </si>
  <si>
    <t>Unidades de convivencia monoparentales con dos menores o personas dependientes</t>
  </si>
  <si>
    <t>Unidades de convivencia monoparentales con tres o más menores o personas dependientes</t>
  </si>
  <si>
    <t>Año Datos Renta / IPREM-14</t>
  </si>
  <si>
    <t>AÑO DATOS RENTA / IPREM-14</t>
  </si>
  <si>
    <t>Valoración rentas según IPREM-14</t>
  </si>
  <si>
    <t>Nº de miembros de la unidad de convivencia</t>
  </si>
  <si>
    <t>Cuantía máxima de la ayuda según número de viviendas y locales</t>
  </si>
  <si>
    <t>*1 Cantidad en € resultante de la suma de la renta anual de todos los miembros que integran la unidad de conviviencia, mayores de 16 años, tengan o no obligación de presentar la declaración de la renta. El órgano gestor realizará, de oficio, las consultas oportunas ante la Agencia Tributaria con el objeto de recabar esta información, según lo establecido el apartado 8 de la solicitud de vulnerabilidad remitida.
Desde el 1 de julio de 2021 y hasta el 30 de junio de 2022, los ingresos que han de tomarse como referencia son los relativos al ejercicio fiscal 2020. Desde el 1 de julio de 2022 y hasta el 30 de junio de 2023, los ingresos que han de tomarse como referencia son los relativos al ejercicio fiscal 2021. Desde el 1 de julio de 2023 y hasta el 30 de junio de 2024, los ingresos que han de tomarse como referencia son los relativos al ejercicio fiscal 2022. Desde el 1 de julio de 2024 y hasta el 30 de junio de 2025, los ingresos que han de tomarse como referencia son los relativos al ejercicio fiscal 2023.</t>
  </si>
  <si>
    <t>Cuantía de ayuda calculada TOTAL</t>
  </si>
  <si>
    <t>% de participación en la actuación P3 imputable a la unidad de convivencia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</si>
</sst>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quot;Sí&quot;;;&quot;No&quot;"/>
    <numFmt numFmtId="165" formatCode="0.00\ &quot;veces IPREM-14&quot;"/>
  </numFmts>
  <fonts count="29"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1"/>
      <color theme="0"/>
      <name val="Calibri"/>
      <family val="2"/>
      <scheme val="minor"/>
    </font>
    <font>
      <b/>
      <sz val="36"/>
      <color rgb="FF0070C0"/>
      <name val="Calibri"/>
      <family val="2"/>
      <scheme val="minor"/>
    </font>
    <font>
      <b/>
      <i/>
      <sz val="18"/>
      <color rgb="FF0070C0"/>
      <name val="Calibri"/>
      <family val="2"/>
      <scheme val="minor"/>
    </font>
    <font>
      <b/>
      <sz val="26"/>
      <color rgb="FF0070C0"/>
      <name val="Calibri"/>
      <family val="2"/>
      <scheme val="minor"/>
    </font>
    <font>
      <b/>
      <i/>
      <sz val="16"/>
      <color rgb="FF0070C0"/>
      <name val="Calibri"/>
      <family val="2"/>
      <scheme val="minor"/>
    </font>
    <font>
      <b/>
      <sz val="14"/>
      <color rgb="FF4A4848"/>
      <name val="Arial"/>
      <family val="2"/>
    </font>
    <font>
      <b/>
      <sz val="30"/>
      <color rgb="FF5C9E80"/>
      <name val="Calibri"/>
      <family val="2"/>
      <scheme val="minor"/>
    </font>
    <font>
      <b/>
      <i/>
      <sz val="16"/>
      <color rgb="FF5C9E80"/>
      <name val="Calibri"/>
      <family val="2"/>
      <scheme val="minor"/>
    </font>
    <font>
      <sz val="11"/>
      <color theme="0"/>
      <name val="Calibri"/>
      <family val="2"/>
    </font>
    <font>
      <sz val="9"/>
      <color indexed="81"/>
      <name val="Tahoma"/>
      <family val="2"/>
    </font>
    <font>
      <b/>
      <sz val="9"/>
      <color indexed="81"/>
      <name val="Tahoma"/>
      <family val="2"/>
    </font>
    <font>
      <sz val="16"/>
      <name val="Calibri"/>
      <family val="2"/>
      <scheme val="minor"/>
    </font>
    <font>
      <sz val="11"/>
      <name val="Calibri"/>
      <family val="2"/>
      <scheme val="minor"/>
    </font>
    <font>
      <b/>
      <sz val="30"/>
      <name val="Calibri"/>
      <family val="2"/>
      <scheme val="minor"/>
    </font>
    <font>
      <b/>
      <i/>
      <sz val="16"/>
      <name val="Calibri"/>
      <family val="2"/>
      <scheme val="minor"/>
    </font>
    <font>
      <b/>
      <sz val="16"/>
      <color rgb="FF5C9E80"/>
      <name val="Calibri"/>
      <family val="2"/>
      <scheme val="minor"/>
    </font>
    <font>
      <b/>
      <sz val="26"/>
      <color rgb="FF5C9E80"/>
      <name val="Calibri"/>
      <family val="2"/>
      <scheme val="minor"/>
    </font>
    <font>
      <b/>
      <sz val="12"/>
      <color rgb="FFFF0000"/>
      <name val="Calibri"/>
      <family val="2"/>
      <scheme val="minor"/>
    </font>
    <font>
      <sz val="11"/>
      <color theme="1"/>
      <name val="Calibri"/>
      <family val="2"/>
    </font>
    <font>
      <sz val="11"/>
      <color rgb="FFFF0000"/>
      <name val="Calibri"/>
      <family val="2"/>
      <scheme val="minor"/>
    </font>
    <font>
      <b/>
      <sz val="11"/>
      <color rgb="FFFF0000"/>
      <name val="Calibri"/>
      <family val="2"/>
      <scheme val="minor"/>
    </font>
    <font>
      <b/>
      <sz val="16"/>
      <color theme="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7"/>
        <bgColor indexed="64"/>
      </patternFill>
    </fill>
    <fill>
      <patternFill patternType="solid">
        <fgColor theme="0" tint="-0.249977111117893"/>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s>
  <cellStyleXfs count="4">
    <xf numFmtId="0" fontId="0" fillId="0" borderId="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47">
    <xf numFmtId="0" fontId="0" fillId="0" borderId="0" xfId="0"/>
    <xf numFmtId="0" fontId="7" fillId="0" borderId="0" xfId="0" applyFont="1" applyAlignment="1" applyProtection="1">
      <alignment vertical="center" wrapText="1"/>
      <protection hidden="1"/>
    </xf>
    <xf numFmtId="0" fontId="2" fillId="0" borderId="9" xfId="0" applyFont="1" applyBorder="1"/>
    <xf numFmtId="0" fontId="0" fillId="0" borderId="11" xfId="0" applyBorder="1"/>
    <xf numFmtId="0" fontId="0" fillId="0" borderId="10" xfId="0" applyBorder="1"/>
    <xf numFmtId="0" fontId="0" fillId="0" borderId="10" xfId="0" applyBorder="1" applyAlignment="1">
      <alignment wrapText="1"/>
    </xf>
    <xf numFmtId="0" fontId="0" fillId="0" borderId="11" xfId="0" applyBorder="1" applyAlignment="1">
      <alignment wrapText="1"/>
    </xf>
    <xf numFmtId="0" fontId="0" fillId="0" borderId="11" xfId="0" applyBorder="1" applyAlignment="1">
      <alignment vertical="center"/>
    </xf>
    <xf numFmtId="0" fontId="0" fillId="0" borderId="10" xfId="0" applyBorder="1" applyAlignment="1">
      <alignment vertical="center"/>
    </xf>
    <xf numFmtId="0" fontId="2" fillId="0" borderId="9" xfId="0" applyFont="1" applyBorder="1" applyAlignment="1">
      <alignment wrapText="1"/>
    </xf>
    <xf numFmtId="44" fontId="0" fillId="2" borderId="6" xfId="2" applyFont="1" applyFill="1" applyBorder="1" applyAlignment="1" applyProtection="1">
      <alignment horizontal="center" vertical="center" wrapText="1"/>
      <protection locked="0"/>
    </xf>
    <xf numFmtId="0" fontId="15" fillId="0" borderId="0" xfId="0" applyFont="1" applyAlignment="1" applyProtection="1">
      <alignment vertical="center" wrapText="1"/>
      <protection hidden="1"/>
    </xf>
    <xf numFmtId="164" fontId="0" fillId="2" borderId="2" xfId="0" applyNumberFormat="1" applyFill="1" applyBorder="1" applyAlignment="1" applyProtection="1">
      <alignment horizontal="center" vertical="center" wrapText="1"/>
      <protection locked="0"/>
    </xf>
    <xf numFmtId="44" fontId="0" fillId="0" borderId="6" xfId="2" applyFont="1" applyFill="1" applyBorder="1" applyAlignment="1" applyProtection="1">
      <alignment horizontal="center" vertical="center" wrapText="1"/>
    </xf>
    <xf numFmtId="44" fontId="3" fillId="3" borderId="2" xfId="2" applyFont="1" applyFill="1" applyBorder="1" applyAlignment="1" applyProtection="1">
      <alignment horizontal="center" vertical="center" wrapText="1"/>
    </xf>
    <xf numFmtId="44" fontId="3" fillId="3" borderId="4" xfId="2" applyFont="1" applyFill="1" applyBorder="1" applyAlignment="1" applyProtection="1">
      <alignment horizontal="center" vertical="center" wrapText="1"/>
    </xf>
    <xf numFmtId="44" fontId="3" fillId="3" borderId="6" xfId="2" applyFont="1" applyFill="1" applyBorder="1" applyAlignment="1" applyProtection="1">
      <alignment horizontal="center" vertical="center" wrapText="1"/>
    </xf>
    <xf numFmtId="0" fontId="0" fillId="0" borderId="0" xfId="0" applyAlignment="1">
      <alignment vertical="center" wrapText="1"/>
    </xf>
    <xf numFmtId="0" fontId="10" fillId="0" borderId="0" xfId="0" applyFont="1" applyAlignment="1">
      <alignment vertical="center"/>
    </xf>
    <xf numFmtId="0" fontId="8"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10" fontId="0" fillId="0" borderId="6" xfId="1" applyNumberFormat="1" applyFont="1" applyBorder="1" applyAlignment="1" applyProtection="1">
      <alignment horizontal="right" vertical="center" wrapText="1"/>
    </xf>
    <xf numFmtId="0" fontId="3" fillId="3" borderId="1" xfId="0" applyFont="1" applyFill="1" applyBorder="1" applyAlignment="1">
      <alignment vertical="center" wrapText="1"/>
    </xf>
    <xf numFmtId="0" fontId="3" fillId="3" borderId="5" xfId="0" applyFont="1" applyFill="1" applyBorder="1" applyAlignment="1">
      <alignment vertical="center" wrapText="1"/>
    </xf>
    <xf numFmtId="0" fontId="3" fillId="3" borderId="3" xfId="0" applyFont="1" applyFill="1" applyBorder="1" applyAlignment="1">
      <alignment vertical="center" wrapText="1"/>
    </xf>
    <xf numFmtId="0" fontId="12" fillId="0" borderId="0" xfId="0" applyFont="1"/>
    <xf numFmtId="0" fontId="19" fillId="0" borderId="0" xfId="0" applyFont="1" applyAlignment="1">
      <alignment vertical="center" wrapText="1"/>
    </xf>
    <xf numFmtId="0" fontId="20" fillId="0" borderId="0" xfId="0" applyFont="1" applyAlignment="1">
      <alignment vertical="center"/>
    </xf>
    <xf numFmtId="0" fontId="21" fillId="0" borderId="0" xfId="0" applyFont="1" applyAlignment="1">
      <alignment horizontal="center" vertical="center"/>
    </xf>
    <xf numFmtId="0" fontId="19" fillId="0" borderId="0" xfId="0" applyFont="1" applyAlignment="1">
      <alignment horizontal="center" vertical="center" wrapText="1"/>
    </xf>
    <xf numFmtId="0" fontId="19" fillId="0" borderId="5" xfId="0" applyFont="1" applyBorder="1"/>
    <xf numFmtId="0" fontId="19" fillId="0" borderId="0" xfId="0" applyFont="1" applyAlignment="1" applyProtection="1">
      <alignment vertical="center" wrapText="1"/>
      <protection hidden="1"/>
    </xf>
    <xf numFmtId="164" fontId="7" fillId="4" borderId="4" xfId="0" applyNumberFormat="1" applyFont="1" applyFill="1" applyBorder="1" applyAlignment="1" applyProtection="1">
      <alignment horizontal="center" vertical="center" wrapText="1"/>
      <protection locked="0"/>
    </xf>
    <xf numFmtId="10" fontId="7" fillId="4" borderId="6" xfId="1" applyNumberFormat="1" applyFont="1" applyFill="1" applyBorder="1" applyAlignment="1" applyProtection="1">
      <alignment horizontal="center" vertical="center" wrapText="1"/>
      <protection locked="0"/>
    </xf>
    <xf numFmtId="10" fontId="7" fillId="4" borderId="4" xfId="1" applyNumberFormat="1" applyFont="1" applyFill="1" applyBorder="1" applyAlignment="1" applyProtection="1">
      <alignment horizontal="center" vertical="center" wrapText="1"/>
      <protection locked="0"/>
    </xf>
    <xf numFmtId="44" fontId="0" fillId="0" borderId="0" xfId="0" applyNumberFormat="1" applyAlignment="1">
      <alignment horizontal="center" vertical="center" wrapText="1"/>
    </xf>
    <xf numFmtId="0" fontId="0" fillId="0" borderId="5" xfId="0" applyBorder="1" applyAlignment="1">
      <alignment horizontal="left" vertical="center" wrapText="1"/>
    </xf>
    <xf numFmtId="44" fontId="19" fillId="0" borderId="0" xfId="0" applyNumberFormat="1" applyFont="1" applyAlignment="1" applyProtection="1">
      <alignment vertical="center" wrapText="1"/>
      <protection hidden="1"/>
    </xf>
    <xf numFmtId="0" fontId="3" fillId="0" borderId="3" xfId="0" applyFont="1" applyBorder="1" applyAlignment="1">
      <alignment vertical="center" wrapText="1"/>
    </xf>
    <xf numFmtId="44" fontId="3" fillId="0" borderId="4" xfId="2" applyFont="1" applyFill="1" applyBorder="1" applyAlignment="1" applyProtection="1">
      <alignment horizontal="center" vertical="center" wrapText="1"/>
    </xf>
    <xf numFmtId="164" fontId="0" fillId="2" borderId="6" xfId="0" applyNumberFormat="1" applyFill="1" applyBorder="1" applyAlignment="1" applyProtection="1">
      <alignment horizontal="center" vertical="center" wrapText="1"/>
      <protection locked="0"/>
    </xf>
    <xf numFmtId="0" fontId="0" fillId="0" borderId="5" xfId="0"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2" fontId="0" fillId="2" borderId="4" xfId="0" applyNumberFormat="1" applyFill="1" applyBorder="1" applyAlignment="1" applyProtection="1">
      <alignment horizontal="center" vertical="center" wrapText="1"/>
      <protection locked="0"/>
    </xf>
    <xf numFmtId="44" fontId="0" fillId="0" borderId="6" xfId="0" applyNumberFormat="1" applyBorder="1" applyAlignment="1">
      <alignment horizontal="center" vertical="center" wrapText="1"/>
    </xf>
    <xf numFmtId="0" fontId="0" fillId="0" borderId="6" xfId="0" applyBorder="1" applyAlignment="1">
      <alignment horizontal="right" vertical="center" wrapText="1"/>
    </xf>
    <xf numFmtId="44" fontId="19" fillId="0" borderId="0" xfId="2" applyFont="1" applyAlignment="1" applyProtection="1">
      <alignment vertical="center" wrapText="1"/>
      <protection hidden="1"/>
    </xf>
    <xf numFmtId="164" fontId="7" fillId="4" borderId="6" xfId="0" applyNumberFormat="1" applyFont="1" applyFill="1" applyBorder="1" applyAlignment="1" applyProtection="1">
      <alignment horizontal="center" vertical="center" wrapText="1"/>
      <protection locked="0"/>
    </xf>
    <xf numFmtId="44" fontId="7" fillId="4" borderId="6" xfId="2" applyFont="1" applyFill="1" applyBorder="1" applyAlignment="1" applyProtection="1">
      <alignment horizontal="center" vertical="center" wrapText="1"/>
      <protection locked="0"/>
    </xf>
    <xf numFmtId="9" fontId="19" fillId="0" borderId="0" xfId="1" applyFont="1" applyAlignment="1" applyProtection="1">
      <alignment vertical="center" wrapText="1"/>
      <protection hidden="1"/>
    </xf>
    <xf numFmtId="0" fontId="1" fillId="0" borderId="6"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wrapText="1"/>
    </xf>
    <xf numFmtId="0" fontId="0" fillId="0" borderId="16" xfId="0" applyBorder="1" applyAlignment="1">
      <alignment horizontal="right" vertical="center"/>
    </xf>
    <xf numFmtId="0" fontId="0" fillId="0" borderId="17" xfId="0" applyBorder="1" applyAlignment="1">
      <alignment vertical="center"/>
    </xf>
    <xf numFmtId="0" fontId="0" fillId="0" borderId="16" xfId="0" applyBorder="1" applyAlignment="1">
      <alignment vertical="center"/>
    </xf>
    <xf numFmtId="0" fontId="0" fillId="0" borderId="18" xfId="0" applyBorder="1" applyAlignment="1">
      <alignment horizontal="right" vertical="center"/>
    </xf>
    <xf numFmtId="0" fontId="0" fillId="0" borderId="19" xfId="0" applyBorder="1" applyAlignment="1">
      <alignment vertical="center"/>
    </xf>
    <xf numFmtId="0" fontId="0" fillId="2" borderId="6" xfId="2" applyNumberFormat="1" applyFont="1" applyFill="1" applyBorder="1" applyAlignment="1" applyProtection="1">
      <alignment horizontal="center" vertical="center" wrapText="1"/>
      <protection locked="0"/>
    </xf>
    <xf numFmtId="0" fontId="19" fillId="0" borderId="0" xfId="0" applyFont="1" applyAlignment="1">
      <alignment horizontal="right" vertical="center" wrapText="1"/>
    </xf>
    <xf numFmtId="0" fontId="19" fillId="0" borderId="0" xfId="0" applyFont="1" applyAlignment="1" applyProtection="1">
      <alignment horizontal="right" vertical="center" wrapText="1"/>
      <protection hidden="1"/>
    </xf>
    <xf numFmtId="44" fontId="3" fillId="3" borderId="6" xfId="2" applyFont="1" applyFill="1" applyBorder="1" applyAlignment="1" applyProtection="1">
      <alignment horizontal="right" vertical="center" wrapText="1"/>
    </xf>
    <xf numFmtId="44" fontId="3" fillId="3" borderId="4" xfId="2" applyFont="1" applyFill="1" applyBorder="1" applyAlignment="1" applyProtection="1">
      <alignment horizontal="right" vertical="center" wrapText="1"/>
    </xf>
    <xf numFmtId="0" fontId="24" fillId="0" borderId="6" xfId="0" applyFont="1" applyBorder="1" applyAlignment="1">
      <alignment horizontal="center" vertical="center" wrapText="1"/>
    </xf>
    <xf numFmtId="10" fontId="0" fillId="0" borderId="6" xfId="1" applyNumberFormat="1" applyFont="1" applyFill="1" applyBorder="1" applyAlignment="1" applyProtection="1">
      <alignment horizontal="right" vertical="center" wrapText="1"/>
    </xf>
    <xf numFmtId="44" fontId="0" fillId="0" borderId="4" xfId="2" applyFont="1" applyFill="1" applyBorder="1" applyAlignment="1" applyProtection="1">
      <alignment horizontal="center" vertical="center" wrapText="1"/>
    </xf>
    <xf numFmtId="0" fontId="20" fillId="0" borderId="0" xfId="0" applyFont="1" applyAlignment="1">
      <alignment horizontal="right" vertical="center"/>
    </xf>
    <xf numFmtId="0" fontId="21" fillId="0" borderId="0" xfId="0" applyFont="1" applyAlignment="1">
      <alignment horizontal="right" vertical="center"/>
    </xf>
    <xf numFmtId="44" fontId="19" fillId="0" borderId="0" xfId="0" applyNumberFormat="1" applyFont="1" applyAlignment="1" applyProtection="1">
      <alignment horizontal="right" vertical="center" wrapText="1"/>
      <protection hidden="1"/>
    </xf>
    <xf numFmtId="0" fontId="0" fillId="0" borderId="0" xfId="0" applyAlignment="1">
      <alignment vertical="center"/>
    </xf>
    <xf numFmtId="0" fontId="0" fillId="0" borderId="0" xfId="0" applyAlignment="1">
      <alignment horizontal="right" vertical="center" wrapText="1"/>
    </xf>
    <xf numFmtId="44" fontId="0" fillId="0" borderId="6" xfId="2" applyFont="1" applyFill="1" applyBorder="1" applyAlignment="1" applyProtection="1">
      <alignment horizontal="right" vertical="center" wrapText="1"/>
    </xf>
    <xf numFmtId="10" fontId="0" fillId="0" borderId="4" xfId="1" applyNumberFormat="1" applyFont="1" applyFill="1" applyBorder="1" applyAlignment="1" applyProtection="1">
      <alignment horizontal="right" vertical="center" wrapText="1"/>
    </xf>
    <xf numFmtId="44" fontId="3" fillId="3" borderId="2" xfId="2" applyFont="1" applyFill="1" applyBorder="1" applyAlignment="1" applyProtection="1">
      <alignment horizontal="right" vertical="center" wrapText="1"/>
    </xf>
    <xf numFmtId="0" fontId="1" fillId="3" borderId="1" xfId="0" applyFont="1" applyFill="1" applyBorder="1" applyAlignment="1">
      <alignment vertical="center" wrapText="1"/>
    </xf>
    <xf numFmtId="44" fontId="1" fillId="3" borderId="2" xfId="2" applyFont="1" applyFill="1" applyBorder="1" applyAlignment="1" applyProtection="1">
      <alignment horizontal="right" vertical="center" wrapText="1"/>
    </xf>
    <xf numFmtId="0" fontId="1" fillId="3" borderId="5" xfId="0" applyFont="1" applyFill="1" applyBorder="1" applyAlignment="1">
      <alignment vertical="center" wrapText="1"/>
    </xf>
    <xf numFmtId="44" fontId="1" fillId="3" borderId="6" xfId="2" applyFont="1" applyFill="1" applyBorder="1" applyAlignment="1" applyProtection="1">
      <alignment horizontal="right" vertical="center" wrapText="1"/>
    </xf>
    <xf numFmtId="0" fontId="26" fillId="0" borderId="11" xfId="0" applyFont="1" applyBorder="1"/>
    <xf numFmtId="0" fontId="26" fillId="0" borderId="10" xfId="0" applyFont="1" applyBorder="1"/>
    <xf numFmtId="0" fontId="28" fillId="0" borderId="22" xfId="0" applyFont="1" applyBorder="1" applyAlignment="1">
      <alignment horizontal="right" vertical="center"/>
    </xf>
    <xf numFmtId="0" fontId="0" fillId="0" borderId="16" xfId="0" applyBorder="1" applyAlignment="1">
      <alignment horizontal="right" vertical="center" wrapText="1"/>
    </xf>
    <xf numFmtId="0" fontId="0" fillId="0" borderId="18" xfId="0" applyBorder="1" applyAlignment="1">
      <alignment horizontal="right" vertical="center" wrapText="1"/>
    </xf>
    <xf numFmtId="0" fontId="2" fillId="0" borderId="23" xfId="0" applyFont="1" applyBorder="1" applyAlignment="1">
      <alignment vertical="center"/>
    </xf>
    <xf numFmtId="0" fontId="0" fillId="0" borderId="24"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0" xfId="0" applyAlignment="1">
      <alignment horizontal="left" vertical="center" wrapText="1"/>
    </xf>
    <xf numFmtId="0" fontId="3" fillId="3" borderId="22" xfId="0" applyFont="1" applyFill="1" applyBorder="1" applyAlignment="1">
      <alignment vertical="center" wrapText="1"/>
    </xf>
    <xf numFmtId="0" fontId="3" fillId="3" borderId="0" xfId="0" applyFont="1" applyFill="1" applyAlignment="1">
      <alignment vertical="center" wrapText="1"/>
    </xf>
    <xf numFmtId="165" fontId="3" fillId="3" borderId="2" xfId="2" applyNumberFormat="1" applyFont="1" applyFill="1" applyBorder="1" applyAlignment="1" applyProtection="1">
      <alignment horizontal="right" vertical="center" wrapText="1"/>
    </xf>
    <xf numFmtId="1" fontId="0" fillId="2" borderId="6" xfId="0" applyNumberFormat="1" applyFill="1" applyBorder="1" applyAlignment="1" applyProtection="1">
      <alignment horizontal="center" vertical="center" wrapText="1"/>
      <protection locked="0"/>
    </xf>
    <xf numFmtId="44" fontId="0" fillId="2" borderId="6" xfId="3" applyFont="1" applyFill="1" applyBorder="1" applyAlignment="1" applyProtection="1">
      <alignment horizontal="center" vertical="center" wrapText="1"/>
      <protection locked="0"/>
    </xf>
    <xf numFmtId="2" fontId="0" fillId="2" borderId="6" xfId="2" applyNumberFormat="1" applyFont="1" applyFill="1" applyBorder="1" applyAlignment="1" applyProtection="1">
      <alignment vertical="center" wrapText="1"/>
      <protection locked="0"/>
    </xf>
    <xf numFmtId="0" fontId="18" fillId="2" borderId="1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0" fillId="0" borderId="0" xfId="0" applyAlignment="1">
      <alignment horizontal="center" vertical="center" wrapText="1"/>
    </xf>
    <xf numFmtId="0" fontId="26" fillId="0" borderId="0" xfId="0" applyFont="1" applyAlignment="1">
      <alignment horizontal="left" vertical="top" wrapText="1"/>
    </xf>
    <xf numFmtId="0" fontId="4" fillId="0" borderId="1" xfId="0" applyFont="1" applyBorder="1" applyAlignment="1">
      <alignment vertical="center" wrapText="1"/>
    </xf>
    <xf numFmtId="0" fontId="5" fillId="0" borderId="2" xfId="0" applyFont="1" applyBorder="1" applyAlignment="1">
      <alignment vertical="center" wrapText="1"/>
    </xf>
    <xf numFmtId="0" fontId="13" fillId="0" borderId="0" xfId="0" applyFont="1" applyAlignment="1">
      <alignment horizontal="center" vertical="center"/>
    </xf>
    <xf numFmtId="0" fontId="3" fillId="0" borderId="1" xfId="0" applyFont="1" applyBorder="1" applyAlignment="1">
      <alignment horizontal="left" vertical="center" wrapText="1"/>
    </xf>
    <xf numFmtId="0" fontId="1" fillId="0" borderId="2" xfId="0" applyFont="1" applyBorder="1" applyAlignment="1">
      <alignment horizontal="left" vertical="center" wrapText="1"/>
    </xf>
    <xf numFmtId="0" fontId="4" fillId="0" borderId="7" xfId="0" applyFont="1" applyBorder="1" applyAlignment="1">
      <alignment vertical="center" wrapText="1"/>
    </xf>
    <xf numFmtId="0" fontId="5" fillId="0" borderId="8" xfId="0" applyFont="1" applyBorder="1" applyAlignment="1">
      <alignmen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0" borderId="7" xfId="0" applyBorder="1" applyAlignment="1">
      <alignment horizontal="left" vertical="center" wrapText="1"/>
    </xf>
    <xf numFmtId="0" fontId="0" fillId="0" borderId="31" xfId="0" applyBorder="1" applyAlignment="1">
      <alignment horizontal="left" vertical="center" wrapText="1"/>
    </xf>
    <xf numFmtId="44" fontId="0" fillId="2" borderId="0" xfId="2" applyFont="1" applyFill="1" applyBorder="1" applyAlignment="1" applyProtection="1">
      <alignment horizontal="center" vertical="center" wrapText="1"/>
      <protection locked="0"/>
    </xf>
    <xf numFmtId="44" fontId="0" fillId="2" borderId="6" xfId="2" applyFont="1" applyFill="1" applyBorder="1" applyAlignment="1" applyProtection="1">
      <alignment horizontal="center" vertical="center" wrapText="1"/>
      <protection locked="0"/>
    </xf>
    <xf numFmtId="0" fontId="23" fillId="0" borderId="0" xfId="0" applyFont="1" applyAlignment="1">
      <alignment horizontal="center" vertical="center"/>
    </xf>
    <xf numFmtId="0" fontId="4" fillId="0" borderId="22" xfId="0" applyFont="1" applyBorder="1" applyAlignment="1">
      <alignment horizontal="left" vertical="center" wrapText="1"/>
    </xf>
    <xf numFmtId="0" fontId="26" fillId="0" borderId="22" xfId="0" applyFont="1" applyBorder="1" applyAlignment="1">
      <alignment horizontal="left" vertical="top"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0" fillId="0" borderId="21" xfId="0" applyBorder="1" applyAlignment="1">
      <alignment horizontal="left" vertical="center" wrapText="1"/>
    </xf>
    <xf numFmtId="0" fontId="0" fillId="2" borderId="29" xfId="0" applyFill="1" applyBorder="1" applyAlignment="1" applyProtection="1">
      <alignment horizontal="right" vertical="center" wrapText="1"/>
      <protection locked="0"/>
    </xf>
    <xf numFmtId="0" fontId="0" fillId="2" borderId="30" xfId="0" applyFill="1" applyBorder="1" applyAlignment="1" applyProtection="1">
      <alignment horizontal="right" vertical="center" wrapText="1"/>
      <protection locked="0"/>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28" xfId="0"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3"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0" fillId="2" borderId="28" xfId="0" applyFill="1" applyBorder="1" applyAlignment="1" applyProtection="1">
      <alignment horizontal="left" vertical="center" wrapText="1"/>
      <protection locked="0"/>
    </xf>
    <xf numFmtId="0" fontId="0" fillId="2" borderId="0" xfId="0" applyFill="1" applyAlignment="1" applyProtection="1">
      <alignment horizontal="right" vertical="center" wrapText="1"/>
      <protection locked="0"/>
    </xf>
    <xf numFmtId="0" fontId="0" fillId="2" borderId="6" xfId="0" applyFill="1" applyBorder="1" applyAlignment="1" applyProtection="1">
      <alignment horizontal="right" vertical="center" wrapText="1"/>
      <protection locked="0"/>
    </xf>
  </cellXfs>
  <cellStyles count="4">
    <cellStyle name="Moneda" xfId="2" builtinId="4"/>
    <cellStyle name="Moneda 2" xfId="3" xr:uid="{00000000-0005-0000-0000-000004000000}"/>
    <cellStyle name="Normal" xfId="0" builtinId="0"/>
    <cellStyle name="Porcentaje" xfId="1" builtinId="5"/>
  </cellStyles>
  <dxfs count="41">
    <dxf>
      <font>
        <color theme="0"/>
      </font>
      <fill>
        <patternFill>
          <bgColor theme="0" tint="-0.24994659260841701"/>
        </patternFill>
      </fill>
    </dxf>
    <dxf>
      <font>
        <color theme="0"/>
      </font>
      <fill>
        <patternFill>
          <bgColor theme="0" tint="-0.24994659260841701"/>
        </patternFill>
      </fill>
    </dxf>
    <dxf>
      <font>
        <b val="0"/>
        <i val="0"/>
        <color auto="1"/>
      </font>
      <fill>
        <patternFill>
          <bgColor rgb="FFFFFF00"/>
        </patternFill>
      </fill>
    </dxf>
    <dxf>
      <font>
        <b/>
        <i val="0"/>
        <color rgb="FFFF0000"/>
      </font>
      <fill>
        <patternFill patternType="none">
          <bgColor auto="1"/>
        </patternFill>
      </fill>
    </dxf>
    <dxf>
      <font>
        <b/>
        <i val="0"/>
        <color theme="9" tint="-0.24994659260841701"/>
      </font>
    </dxf>
    <dxf>
      <font>
        <b/>
        <i val="0"/>
        <color rgb="FFFF0000"/>
      </font>
    </dxf>
    <dxf>
      <font>
        <b/>
        <i val="0"/>
        <color theme="9" tint="-0.24994659260841701"/>
      </font>
      <fill>
        <patternFill>
          <bgColor rgb="FFFFFF00"/>
        </patternFill>
      </fill>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ont>
        <b/>
        <i val="0"/>
        <strike val="0"/>
        <color rgb="FFFF0000"/>
      </font>
    </dxf>
    <dxf>
      <font>
        <b/>
        <i val="0"/>
        <color rgb="FFFF0000"/>
      </font>
    </dxf>
    <dxf>
      <font>
        <b/>
        <i val="0"/>
        <color theme="9" tint="-0.24994659260841701"/>
      </font>
    </dxf>
    <dxf>
      <font>
        <color theme="0"/>
      </font>
      <fill>
        <patternFill>
          <bgColor theme="0" tint="-0.24994659260841701"/>
        </patternFill>
      </fill>
    </dxf>
    <dxf>
      <font>
        <color theme="0"/>
      </font>
      <fill>
        <patternFill>
          <bgColor theme="0" tint="-0.24994659260841701"/>
        </patternFill>
      </fill>
    </dxf>
    <dxf>
      <font>
        <b/>
        <i val="0"/>
        <strike val="0"/>
        <color rgb="FFFF0000"/>
      </font>
    </dxf>
    <dxf>
      <font>
        <b/>
        <i val="0"/>
        <color theme="9" tint="-0.24994659260841701"/>
      </font>
    </dxf>
    <dxf>
      <font>
        <color theme="1"/>
      </font>
      <fill>
        <patternFill>
          <bgColor theme="9" tint="0.59996337778862885"/>
        </patternFill>
      </fill>
    </dxf>
    <dxf>
      <font>
        <color theme="1"/>
      </font>
      <fill>
        <patternFill>
          <bgColor theme="9" tint="0.59996337778862885"/>
        </patternFill>
      </fill>
    </dxf>
    <dxf>
      <font>
        <color theme="0"/>
      </font>
      <fill>
        <patternFill>
          <bgColor theme="0" tint="-0.24994659260841701"/>
        </patternFill>
      </fill>
    </dxf>
    <dxf>
      <font>
        <color theme="0"/>
      </font>
      <fill>
        <patternFill>
          <bgColor theme="0" tint="-0.24994659260841701"/>
        </patternFill>
      </fill>
    </dxf>
    <dxf>
      <font>
        <b/>
        <i val="0"/>
        <strike val="0"/>
        <color rgb="FFFF0000"/>
      </font>
    </dxf>
    <dxf>
      <font>
        <b/>
        <i val="0"/>
        <color theme="9" tint="-0.24994659260841701"/>
      </font>
    </dxf>
    <dxf>
      <font>
        <color rgb="FFFF0000"/>
      </font>
    </dxf>
    <dxf>
      <font>
        <color theme="1"/>
      </font>
      <fill>
        <patternFill>
          <bgColor theme="9" tint="0.59996337778862885"/>
        </patternFill>
      </fill>
    </dxf>
    <dxf>
      <font>
        <color theme="0"/>
      </font>
      <fill>
        <patternFill>
          <bgColor theme="0" tint="-0.24994659260841701"/>
        </patternFill>
      </fill>
    </dxf>
    <dxf>
      <font>
        <color rgb="FFFF0000"/>
      </font>
    </dxf>
    <dxf>
      <font>
        <b/>
        <i val="0"/>
        <color rgb="FFFF0000"/>
      </font>
    </dxf>
    <dxf>
      <font>
        <color theme="1"/>
      </font>
      <fill>
        <patternFill>
          <bgColor theme="9" tint="0.59996337778862885"/>
        </patternFill>
      </fill>
    </dxf>
    <dxf>
      <font>
        <color rgb="FFFF0000"/>
      </font>
    </dxf>
    <dxf>
      <font>
        <color theme="0"/>
      </font>
      <fill>
        <patternFill>
          <bgColor theme="0" tint="-0.24994659260841701"/>
        </patternFill>
      </fill>
    </dxf>
    <dxf>
      <font>
        <b/>
        <i val="0"/>
        <color rgb="FFFF0000"/>
      </font>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ont>
        <color theme="0"/>
      </font>
      <fill>
        <patternFill>
          <bgColor theme="0" tint="-0.24994659260841701"/>
        </patternFill>
      </fill>
    </dxf>
    <dxf>
      <font>
        <b/>
        <i val="0"/>
        <color rgb="FF5C9E80"/>
      </font>
      <fill>
        <patternFill>
          <bgColor rgb="FFFFFF00"/>
        </patternFill>
      </fill>
    </dxf>
    <dxf>
      <font>
        <b/>
        <i val="0"/>
        <color rgb="FF5C9E80"/>
      </font>
      <fill>
        <patternFill>
          <bgColor rgb="FFFFFF00"/>
        </patternFill>
      </fill>
    </dxf>
    <dxf>
      <font>
        <color rgb="FFFF0000"/>
      </font>
    </dxf>
    <dxf>
      <font>
        <color rgb="FFFF0000"/>
      </font>
    </dxf>
  </dxfs>
  <tableStyles count="0" defaultTableStyle="TableStyleMedium2" defaultPivotStyle="PivotStyleLight16"/>
  <colors>
    <mruColors>
      <color rgb="FF5C9E80"/>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0</xdr:colOff>
      <xdr:row>1</xdr:row>
      <xdr:rowOff>499215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1"/>
          <a:ext cx="8296275" cy="503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4133851</xdr:colOff>
      <xdr:row>0</xdr:row>
      <xdr:rowOff>180975</xdr:rowOff>
    </xdr:from>
    <xdr:to>
      <xdr:col>0</xdr:col>
      <xdr:colOff>6305550</xdr:colOff>
      <xdr:row>1</xdr:row>
      <xdr:rowOff>610960</xdr:rowOff>
    </xdr:to>
    <xdr:pic>
      <xdr:nvPicPr>
        <xdr:cNvPr id="3" name="Imagen 2" descr="ES Financiado por la Unión Europea_PO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1" y="180975"/>
          <a:ext cx="2171699" cy="620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4133851</xdr:colOff>
      <xdr:row>0</xdr:row>
      <xdr:rowOff>180975</xdr:rowOff>
    </xdr:from>
    <xdr:to>
      <xdr:col>0</xdr:col>
      <xdr:colOff>6305550</xdr:colOff>
      <xdr:row>1</xdr:row>
      <xdr:rowOff>610960</xdr:rowOff>
    </xdr:to>
    <xdr:pic>
      <xdr:nvPicPr>
        <xdr:cNvPr id="6" name="Imagen 5" descr="ES Financiado por la Unión Europea_POS">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81301" y="180975"/>
          <a:ext cx="0" cy="620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190499</xdr:rowOff>
    </xdr:from>
    <xdr:to>
      <xdr:col>2</xdr:col>
      <xdr:colOff>3019425</xdr:colOff>
      <xdr:row>1</xdr:row>
      <xdr:rowOff>516306</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90499"/>
          <a:ext cx="8515350" cy="5163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9525</xdr:colOff>
      <xdr:row>1</xdr:row>
      <xdr:rowOff>515730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8505825" cy="515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2438400</xdr:colOff>
      <xdr:row>1</xdr:row>
      <xdr:rowOff>514574</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8486775" cy="5145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66"/>
  <sheetViews>
    <sheetView showGridLines="0" tabSelected="1" zoomScaleNormal="100" workbookViewId="0">
      <selection activeCell="A11" sqref="A11:B11"/>
    </sheetView>
  </sheetViews>
  <sheetFormatPr baseColWidth="10" defaultRowHeight="15" x14ac:dyDescent="0.25"/>
  <cols>
    <col min="1" max="1" width="100.7109375" style="17" customWidth="1" collapsed="1"/>
    <col min="2" max="2" width="23.7109375" style="17" customWidth="1" collapsed="1"/>
    <col min="3" max="3" width="11.42578125" style="35" hidden="1" customWidth="1" collapsed="1"/>
    <col min="4" max="4" width="5.85546875" style="17" customWidth="1" collapsed="1"/>
    <col min="5" max="5" width="10.42578125" style="17" customWidth="1" collapsed="1"/>
    <col min="6" max="6" width="11.7109375" style="17" customWidth="1" collapsed="1"/>
    <col min="7" max="11" width="11.42578125" style="17"/>
    <col min="12" max="16384" width="11.42578125" style="17" collapsed="1"/>
  </cols>
  <sheetData>
    <row r="2" spans="1:6" ht="51" customHeight="1" x14ac:dyDescent="0.25">
      <c r="A2" s="109"/>
      <c r="B2" s="109"/>
      <c r="E2" s="19"/>
      <c r="F2" s="19"/>
    </row>
    <row r="3" spans="1:6" ht="51" customHeight="1" x14ac:dyDescent="0.25">
      <c r="A3" s="113" t="s">
        <v>0</v>
      </c>
      <c r="B3" s="113"/>
      <c r="C3" s="36"/>
      <c r="D3" s="20"/>
      <c r="E3" s="23"/>
      <c r="F3" s="23"/>
    </row>
    <row r="4" spans="1:6" ht="21" x14ac:dyDescent="0.25">
      <c r="A4" s="61" t="s">
        <v>1</v>
      </c>
      <c r="B4" s="62"/>
      <c r="C4" s="37"/>
      <c r="D4" s="21"/>
    </row>
    <row r="5" spans="1:6" ht="21" customHeight="1" x14ac:dyDescent="0.25">
      <c r="A5" s="106" t="s">
        <v>2</v>
      </c>
      <c r="B5" s="108"/>
    </row>
    <row r="6" spans="1:6" ht="15.75" thickBot="1" x14ac:dyDescent="0.3"/>
    <row r="7" spans="1:6" ht="18.75" customHeight="1" x14ac:dyDescent="0.25">
      <c r="A7" s="118" t="s">
        <v>3</v>
      </c>
      <c r="B7" s="119"/>
    </row>
    <row r="8" spans="1:6" ht="36" customHeight="1" thickBot="1" x14ac:dyDescent="0.3">
      <c r="A8" s="120" t="s">
        <v>6</v>
      </c>
      <c r="B8" s="121"/>
      <c r="C8" s="38" t="str">
        <f>IF(A8=Full1!A29,1,IF(A8=Full1!A30,2,IF(A8=Full1!A31,3,IF(A8=Full1!A32,4,IF(A8=Full1!A33,5,IF(A8=Full1!A34,6,"ERROR"))))))</f>
        <v>ERROR</v>
      </c>
    </row>
    <row r="9" spans="1:6" ht="15" customHeight="1" thickBot="1" x14ac:dyDescent="0.3"/>
    <row r="10" spans="1:6" ht="18.75" customHeight="1" x14ac:dyDescent="0.25">
      <c r="A10" s="118" t="s">
        <v>5</v>
      </c>
      <c r="B10" s="119"/>
    </row>
    <row r="11" spans="1:6" ht="36" customHeight="1" thickBot="1" x14ac:dyDescent="0.3">
      <c r="A11" s="120" t="s">
        <v>6</v>
      </c>
      <c r="B11" s="121"/>
      <c r="C11" s="38" t="str">
        <f>IF(A11="Programa 3 (P3). Programa de ayuda a las actuaciones de rehabilitación a nivel de edificios.",1,IF(A11="Programa 4 (P4). Programa de ayuda a las actuaciones de mejora de la eficiencia en viviendas.",2,IF(A11="Programa 5 (P5.1 + P5.2). Programa de ayuda a la elaboración del libro del edificio existente y la redacción de proyecto de rehabilitación.",3,IF(A11="Programa 5.1 (P5.1). Programa de Elaboración del Libro del Edificio Existente para la rehabilitación.",4,IF(A11="Programa 5.2 (P5.2). Programa de Redacción de Proyecto Técnico de Rehabilitación Integral de edificio.",5,IF(A11="Programa 3 (P3) + Programa 5 (P5.1 + P5.2). Programa de ayuda a las actuaciones de rehabilitación a nivel de edificios y Programa de ayuda a la elaboración del libro del edificio existente y la redacción de proyecto de rehabilitación.",6,IF(A11="Programa 3 (P3) + Programa 5.1 (P5.1). Programa de ayuda a las actuaciones de rehabilitación a nivel de edificios y Programa de elaboración del Libro del Edificio Existente para la rehabilitación.",7,IF(A11="Programa 3 (P3) + Programa 5.2 (P5.2). Programa de ayuda a las actuaciones de rehabilitación a nivel de edificios y Programa de Redacción de Proyecto Técnico de Rehabilitación Integral de edificio.",8,IF(A11="Programa 4 (P4) + Programa 5.1 (P5.1). Programa de ayuda a las actuaciones de mejora de la eficiencia en viviendas y Programa de elaboración del Libro del Edificio Existente para la rehabilitación.",9,IF(A11="Programa 3 (P3). Programa de ayuda a las actuaciones de rehabilitación a nivel de edificios. + P5.2 en expediente relacionado",10,IF(A11="Programa 3 (P3) + Programa 5.1 (P5.1). Programa de ayuda a las actuaciones de rehabilitación a nivel de edificios y Programa de elaboración del LEE. + P5.2 en expediente relacionado",11,"ERROR")))))))))))</f>
        <v>ERROR</v>
      </c>
    </row>
    <row r="12" spans="1:6" ht="15" customHeight="1" thickBot="1" x14ac:dyDescent="0.3"/>
    <row r="13" spans="1:6" ht="18.75" x14ac:dyDescent="0.25">
      <c r="A13" s="25" t="s">
        <v>7</v>
      </c>
      <c r="B13" s="26"/>
      <c r="C13" s="39"/>
    </row>
    <row r="14" spans="1:6" ht="15" customHeight="1" x14ac:dyDescent="0.25">
      <c r="A14" s="45" t="s">
        <v>8</v>
      </c>
      <c r="B14" s="103">
        <v>0</v>
      </c>
      <c r="C14" s="39"/>
    </row>
    <row r="15" spans="1:6" ht="15" customHeight="1" x14ac:dyDescent="0.25">
      <c r="A15" s="45" t="s">
        <v>9</v>
      </c>
      <c r="B15" s="103">
        <v>0</v>
      </c>
      <c r="C15" s="39"/>
    </row>
    <row r="16" spans="1:6" ht="15" customHeight="1" thickBot="1" x14ac:dyDescent="0.3">
      <c r="A16" s="52" t="s">
        <v>10</v>
      </c>
      <c r="B16" s="53">
        <v>0</v>
      </c>
      <c r="C16" s="39"/>
      <c r="D16" s="1"/>
    </row>
    <row r="17" spans="1:4" ht="15" customHeight="1" thickBot="1" x14ac:dyDescent="0.3">
      <c r="C17" s="39"/>
      <c r="D17" s="1"/>
    </row>
    <row r="18" spans="1:4" ht="18.75" customHeight="1" thickBot="1" x14ac:dyDescent="0.3">
      <c r="A18" s="116" t="s">
        <v>11</v>
      </c>
      <c r="B18" s="117"/>
      <c r="C18" s="39"/>
      <c r="D18" s="1"/>
    </row>
    <row r="19" spans="1:4" ht="17.25" customHeight="1" x14ac:dyDescent="0.25">
      <c r="A19" s="27" t="s">
        <v>12</v>
      </c>
      <c r="B19" s="12" t="s">
        <v>6</v>
      </c>
      <c r="C19" s="39">
        <f>IF(B19="Elegir",0,IF(B19="P3 - Zona Climática C",1,IF(B19="P3 - Zona Climática D",2,IF(B19="P3 - Zona Climática E",3,IF(B19="P4",4)))))</f>
        <v>0</v>
      </c>
      <c r="D19" s="1"/>
    </row>
    <row r="20" spans="1:4" ht="15" customHeight="1" x14ac:dyDescent="0.25">
      <c r="A20" s="45" t="str">
        <f>IF(C19=1,"¿Cumple LAS DOS PRIMERAS de las siguientes condiciones?",IF(C19=2,"¿Cumple LAS DOS PRIMERAS de las siguientes condiciones?",IF(C19=3,"¿Cumple LAS DOS PRIMERAS de las siguientes condiciones?",IF(C19=4,"¿Cumple UNA de las siguientes condiciones?","Elegir"))))</f>
        <v>Elegir</v>
      </c>
      <c r="B20" s="60" t="str">
        <f>IF(AND(B19="P3 - Zona Climática C",B21="Sí",B22="Sí")," ",IF(AND(B19="P3 - Zona Climática D",B21="Sí",B22="Sí")," ",IF(AND(B19="P3 - Zona Climática E",B21="Sí",B22="Sí")," ",IF(AND(B19="P4",B21="Sí")," ",IF(AND(B19="P4",B22="Sí")," ",IF(AND(B19="P4",B23="Sí")," ","REVISAR VALORES"))))))</f>
        <v>REVISAR VALORES</v>
      </c>
      <c r="C20" s="39">
        <f>SUM(C21:C23)</f>
        <v>2</v>
      </c>
      <c r="D20" s="40"/>
    </row>
    <row r="21" spans="1:4" x14ac:dyDescent="0.25">
      <c r="A21" s="45" t="str">
        <f>IF(C19=1,"1. Reducción consumo energía primaria no renovable ≥ 30%",IF(C19=2,"1. Reducción consumo energía primaria no renovable ≥ 30%",IF(C19=3,"1. Reducción consumo energía primaria no renovable ≥ 30%",IF(C19=4,"1. Reducción consumo energía primaria no renovable ≥ 30%","Elegir"))))</f>
        <v>Elegir</v>
      </c>
      <c r="B21" s="49" t="s">
        <v>82</v>
      </c>
      <c r="C21" s="39">
        <f>IF(B21="Sí",1,0)</f>
        <v>1</v>
      </c>
      <c r="D21" s="11"/>
    </row>
    <row r="22" spans="1:4" ht="15" customHeight="1" x14ac:dyDescent="0.25">
      <c r="A22" s="50" t="str">
        <f>IF(C19=1,"2. Reducción demanda energética anual global calefacción-refrigeración ≥ 25%",IF(C19=2,"2. Reducción demanda energética anual global calefacción-refrigeración ≥ 35%",IF(C19=3,"2. Reducción demanda energética anual global calefacción-refrigeración ≥ 35%",IF(C19=4,"2. Reducción demanda energética anual global calefacción-refrigeración ≥ 7%","Elegir"))))</f>
        <v>Elegir</v>
      </c>
      <c r="B22" s="49" t="s">
        <v>82</v>
      </c>
      <c r="C22" s="39">
        <f t="shared" ref="C22:C23" si="0">IF(B22="Sí",1,0)</f>
        <v>1</v>
      </c>
      <c r="D22" s="1"/>
    </row>
    <row r="23" spans="1:4" ht="15" customHeight="1" thickBot="1" x14ac:dyDescent="0.3">
      <c r="A23" s="51" t="str">
        <f>IF(C19=1,"3. No procede",IF(C19=2,"3. No procede",IF(C19=3,"3. No procede",IF(C19=4,"3. Actuaciones sobre elementos envolvente térmica según tablas 3.1.1a y 3.1.3a CTE HE-1","Elegir"))))</f>
        <v>Elegir</v>
      </c>
      <c r="B23" s="41" t="s">
        <v>6</v>
      </c>
      <c r="C23" s="39">
        <f t="shared" si="0"/>
        <v>0</v>
      </c>
      <c r="D23" s="1"/>
    </row>
    <row r="24" spans="1:4" ht="17.25" customHeight="1" x14ac:dyDescent="0.25">
      <c r="A24" s="114" t="s">
        <v>13</v>
      </c>
      <c r="B24" s="115"/>
      <c r="C24" s="40" t="s">
        <v>14</v>
      </c>
      <c r="D24" s="1"/>
    </row>
    <row r="25" spans="1:4" ht="15" customHeight="1" x14ac:dyDescent="0.25">
      <c r="A25" s="45" t="s">
        <v>15</v>
      </c>
      <c r="B25" s="60" t="str">
        <f>IF(AND(C19=1,B26&gt;=C26,B27&gt;=C27)," ",IF(AND(C19=2,B26&gt;=C26,B27&gt;=C27)," ",IF(AND(C19=3,B26&gt;=C26,B27&gt;=C27)," ",IF(AND(C19=4,C21=1,B26&gt;=C26)," ",IF(AND(C19=4,C22=1,B27&gt;=C27)," ",IF(AND(C19=4,C23=1)," ","REVISAR VALORES"))))))</f>
        <v>REVISAR VALORES</v>
      </c>
      <c r="C25" s="40"/>
      <c r="D25" s="1"/>
    </row>
    <row r="26" spans="1:4" ht="15" customHeight="1" x14ac:dyDescent="0.25">
      <c r="A26" s="45" t="s">
        <v>16</v>
      </c>
      <c r="B26" s="42">
        <v>0</v>
      </c>
      <c r="C26" s="59">
        <v>0.3</v>
      </c>
      <c r="D26" s="11"/>
    </row>
    <row r="27" spans="1:4" ht="15" customHeight="1" thickBot="1" x14ac:dyDescent="0.3">
      <c r="A27" s="51" t="s">
        <v>17</v>
      </c>
      <c r="B27" s="43">
        <v>0</v>
      </c>
      <c r="C27" s="59" t="str">
        <f>IF(A22="2. Reducción demanda energética anual global calefacción-refrigeración ≥ 25%",0.25,IF(A22="2. Reducción demanda energética anual global calefacción-refrigeración ≥ 35%",0.35,IF(A22="2. Reducción demanda energética anual global calefacción-refrigeración ≥ 7%",0.07,"Elegir")))</f>
        <v>Elegir</v>
      </c>
      <c r="D27" s="1"/>
    </row>
    <row r="28" spans="1:4" ht="15" customHeight="1" thickBot="1" x14ac:dyDescent="0.3">
      <c r="C28" s="40"/>
      <c r="D28" s="1"/>
    </row>
    <row r="29" spans="1:4" ht="18.75" customHeight="1" thickBot="1" x14ac:dyDescent="0.3">
      <c r="A29" s="111" t="s">
        <v>18</v>
      </c>
      <c r="B29" s="112"/>
      <c r="C29" s="40"/>
      <c r="D29" s="1"/>
    </row>
    <row r="30" spans="1:4" ht="17.45" customHeight="1" x14ac:dyDescent="0.25">
      <c r="A30" s="28" t="s">
        <v>19</v>
      </c>
      <c r="B30" s="29" t="str">
        <f>IF(AND(C20&gt;1,C11=1),"RELLENAR",IF(AND(C20&gt;1,C11=6),"RELLENAR",IF(AND(C20&gt;1,C11=7),"RELLENAR",IF(AND(C20&gt;1,C11=8),"RELLENAR",IF(AND(C20&gt;1,C11=10),"RELLENAR",IF(AND(C20&gt;1,C11=11),"RELLENAR","NO RELLENAR"))))))</f>
        <v>NO RELLENAR</v>
      </c>
      <c r="C30" s="40" t="s">
        <v>14</v>
      </c>
      <c r="D30" s="1"/>
    </row>
    <row r="31" spans="1:4" ht="15" customHeight="1" x14ac:dyDescent="0.25">
      <c r="A31" s="45" t="s">
        <v>20</v>
      </c>
      <c r="B31" s="10">
        <v>0</v>
      </c>
      <c r="C31" s="40"/>
      <c r="D31" s="1"/>
    </row>
    <row r="32" spans="1:4" ht="15" customHeight="1" x14ac:dyDescent="0.25">
      <c r="A32" s="45" t="s">
        <v>21</v>
      </c>
      <c r="B32" s="10">
        <v>0</v>
      </c>
      <c r="C32" s="56" t="e">
        <f>((B32+B34)*C40)/B15</f>
        <v>#DIV/0!</v>
      </c>
      <c r="D32" s="1"/>
    </row>
    <row r="33" spans="1:4" ht="15" customHeight="1" x14ac:dyDescent="0.25">
      <c r="A33" s="45" t="s">
        <v>22</v>
      </c>
      <c r="B33" s="57" t="s">
        <v>83</v>
      </c>
      <c r="C33" s="56">
        <f>IF(B33="Sí",1000*B15,0)</f>
        <v>0</v>
      </c>
      <c r="D33" s="44"/>
    </row>
    <row r="34" spans="1:4" ht="15" customHeight="1" x14ac:dyDescent="0.25">
      <c r="A34" s="45" t="s">
        <v>23</v>
      </c>
      <c r="B34" s="58">
        <v>0</v>
      </c>
      <c r="C34" s="46">
        <f>B34</f>
        <v>0</v>
      </c>
      <c r="D34" s="44"/>
    </row>
    <row r="35" spans="1:4" ht="15" customHeight="1" x14ac:dyDescent="0.25">
      <c r="A35" s="45" t="s">
        <v>24</v>
      </c>
      <c r="B35" s="54">
        <f>MIN(C34:C36)</f>
        <v>0</v>
      </c>
      <c r="C35" s="46">
        <f>MAX(12000,B15*1000)</f>
        <v>12000</v>
      </c>
      <c r="D35" s="44"/>
    </row>
    <row r="36" spans="1:4" ht="15" customHeight="1" x14ac:dyDescent="0.25">
      <c r="A36" s="45" t="s">
        <v>25</v>
      </c>
      <c r="B36" s="54" t="str">
        <f>IF(C11=6,B32+B57,IF(C11=8,B32+B57,IF(C11=10,B32+B57,IF(C11=11,B32+B57,"No procede"))))</f>
        <v>No procede</v>
      </c>
      <c r="C36" s="46">
        <f>MIN(C34,C35)</f>
        <v>0</v>
      </c>
      <c r="D36" s="1"/>
    </row>
    <row r="37" spans="1:4" ht="15" customHeight="1" x14ac:dyDescent="0.25">
      <c r="A37" s="45" t="s">
        <v>26</v>
      </c>
      <c r="B37" s="55" t="str">
        <f>IF(B26&gt;=60%,"80,00%",IF(B26&gt;=45%,"65,00%",IF(B26&gt;=30%,"40,00%","0,00%")))</f>
        <v>0,00%</v>
      </c>
      <c r="C37" s="40">
        <f>COUNTIF(B30,"Sí")</f>
        <v>0</v>
      </c>
      <c r="D37" s="11"/>
    </row>
    <row r="38" spans="1:4" ht="15" customHeight="1" x14ac:dyDescent="0.25">
      <c r="A38" s="45" t="s">
        <v>27</v>
      </c>
      <c r="B38" s="54">
        <f>IF(C11=6,B36*B37,IF(C11=8,B36*B37,IF(C11=10,B36*B37,IF(C11=11,B36*B37,B32*B37))))</f>
        <v>0</v>
      </c>
      <c r="C38" s="40"/>
      <c r="D38" s="11"/>
    </row>
    <row r="39" spans="1:4" ht="15" customHeight="1" x14ac:dyDescent="0.25">
      <c r="A39" s="50" t="s">
        <v>126</v>
      </c>
      <c r="B39" s="13">
        <f>IF(B37="40,00%",6300*B15+56*B16,IF(B37="65,00%",11600*B15+104*B16,IF(B37="80,00%",18800*B15+168*B16,0)))</f>
        <v>0</v>
      </c>
      <c r="C39" s="56">
        <f>IF(B37="40,00%",6300*B15,IF(B37="65,00%",11600*B15,IF(B37="80,00%",18800*B15,0)))</f>
        <v>0</v>
      </c>
      <c r="D39" s="1"/>
    </row>
    <row r="40" spans="1:4" ht="15" customHeight="1" x14ac:dyDescent="0.25">
      <c r="A40" s="50" t="s">
        <v>28</v>
      </c>
      <c r="B40" s="54" t="str">
        <f>IF(C11=6,MIN(B38:B39)-B60,IF(C11=8,MIN(B38:B39)-B60,IF(C11=10,MIN(B38:B39)-B60,IF(C11=11,MIN(B38:B39)-B60,"No procede"))))</f>
        <v>No procede</v>
      </c>
      <c r="C40" s="59" t="e">
        <f>C39/B39</f>
        <v>#DIV/0!</v>
      </c>
      <c r="D40" s="1"/>
    </row>
    <row r="41" spans="1:4" ht="15" customHeight="1" thickBot="1" x14ac:dyDescent="0.3">
      <c r="A41" s="47" t="s">
        <v>29</v>
      </c>
      <c r="B41" s="48">
        <f>MIN(B38:B40)+B35</f>
        <v>0</v>
      </c>
      <c r="C41" s="56" t="e">
        <f>(B41*C40)/B15</f>
        <v>#DIV/0!</v>
      </c>
      <c r="D41" s="1"/>
    </row>
    <row r="42" spans="1:4" ht="17.45" customHeight="1" x14ac:dyDescent="0.25">
      <c r="A42" s="28" t="s">
        <v>30</v>
      </c>
      <c r="B42" s="29" t="str">
        <f>IF(AND(C20&gt;0,C11=2),"RELLENAR",IF(AND(C20&gt;0,C11=9),"RELLENAR","NO RELLENAR"))</f>
        <v>NO RELLENAR</v>
      </c>
      <c r="C42" s="40" t="s">
        <v>14</v>
      </c>
      <c r="D42" s="1"/>
    </row>
    <row r="43" spans="1:4" ht="15" customHeight="1" x14ac:dyDescent="0.25">
      <c r="A43" s="45" t="s">
        <v>20</v>
      </c>
      <c r="B43" s="10">
        <v>0</v>
      </c>
      <c r="C43" s="40"/>
      <c r="D43" s="44"/>
    </row>
    <row r="44" spans="1:4" ht="15" customHeight="1" x14ac:dyDescent="0.25">
      <c r="A44" s="45" t="s">
        <v>21</v>
      </c>
      <c r="B44" s="10">
        <v>0</v>
      </c>
      <c r="C44" s="40"/>
      <c r="D44" s="1"/>
    </row>
    <row r="45" spans="1:4" ht="15" customHeight="1" x14ac:dyDescent="0.25">
      <c r="A45" s="45" t="s">
        <v>26</v>
      </c>
      <c r="B45" s="30">
        <v>0.4</v>
      </c>
      <c r="C45" s="40">
        <f>COUNTIF(B42,"Sí")</f>
        <v>0</v>
      </c>
      <c r="D45" s="11"/>
    </row>
    <row r="46" spans="1:4" ht="15" customHeight="1" x14ac:dyDescent="0.25">
      <c r="A46" s="45" t="s">
        <v>27</v>
      </c>
      <c r="B46" s="54">
        <f>B44*B45</f>
        <v>0</v>
      </c>
      <c r="C46" s="40"/>
      <c r="D46" s="11"/>
    </row>
    <row r="47" spans="1:4" ht="15" customHeight="1" x14ac:dyDescent="0.25">
      <c r="A47" s="50" t="s">
        <v>31</v>
      </c>
      <c r="B47" s="13">
        <v>3000</v>
      </c>
      <c r="C47" s="40"/>
      <c r="D47" s="1"/>
    </row>
    <row r="48" spans="1:4" ht="15" customHeight="1" thickBot="1" x14ac:dyDescent="0.3">
      <c r="A48" s="47" t="s">
        <v>32</v>
      </c>
      <c r="B48" s="48">
        <f>IF(B44&lt;1000,0,MIN(B46,B47))</f>
        <v>0</v>
      </c>
      <c r="C48" s="40"/>
      <c r="D48" s="1"/>
    </row>
    <row r="49" spans="1:4" ht="17.45" customHeight="1" x14ac:dyDescent="0.25">
      <c r="A49" s="28" t="s">
        <v>33</v>
      </c>
      <c r="B49" s="29" t="str">
        <f>IF(AND(B14&lt;2000,C11=3),"RELLENAR",IF(AND(B14&lt;2000,C11=4),"RELLENAR",IF(AND(B14&lt;2000,C11=6),"RELLENAR",IF(AND(B14&lt;2000,C11=7),"RELLENAR",IF(AND(B14&lt;2000,C11=9),"RELLENAR","NO RELLENAR")))))</f>
        <v>NO RELLENAR</v>
      </c>
      <c r="C49" s="40" t="s">
        <v>14</v>
      </c>
      <c r="D49" s="1"/>
    </row>
    <row r="50" spans="1:4" ht="15" customHeight="1" x14ac:dyDescent="0.25">
      <c r="A50" s="45" t="s">
        <v>34</v>
      </c>
      <c r="B50" s="104">
        <v>0</v>
      </c>
      <c r="C50" s="56" t="e">
        <f>(B50*C40)/B15</f>
        <v>#DIV/0!</v>
      </c>
      <c r="D50" s="1"/>
    </row>
    <row r="51" spans="1:4" ht="15" customHeight="1" x14ac:dyDescent="0.25">
      <c r="A51" s="45" t="s">
        <v>35</v>
      </c>
      <c r="B51" s="49" t="s">
        <v>6</v>
      </c>
      <c r="C51" s="40">
        <f>COUNTIF(B49,"Sí")</f>
        <v>0</v>
      </c>
      <c r="D51" s="11"/>
    </row>
    <row r="52" spans="1:4" ht="15" customHeight="1" x14ac:dyDescent="0.25">
      <c r="A52" s="45" t="s">
        <v>36</v>
      </c>
      <c r="B52" s="54">
        <f>IF(B15&gt;=21,(1100+40*B15),IF(B15&gt;=1,(700+60*B15),0))</f>
        <v>0</v>
      </c>
      <c r="C52" s="40"/>
      <c r="D52" s="11"/>
    </row>
    <row r="53" spans="1:4" ht="15" customHeight="1" x14ac:dyDescent="0.25">
      <c r="A53" s="45" t="s">
        <v>37</v>
      </c>
      <c r="B53" s="54">
        <f>IF(B51="Sí",B52*1.5,B52)</f>
        <v>0</v>
      </c>
      <c r="C53" s="40"/>
      <c r="D53" s="11"/>
    </row>
    <row r="54" spans="1:4" ht="15" customHeight="1" x14ac:dyDescent="0.25">
      <c r="A54" s="50" t="s">
        <v>38</v>
      </c>
      <c r="B54" s="13">
        <f>IF(B52&gt;0,3500*1.5,3500)</f>
        <v>3500</v>
      </c>
      <c r="C54" s="40"/>
      <c r="D54" s="1"/>
    </row>
    <row r="55" spans="1:4" ht="15" customHeight="1" thickBot="1" x14ac:dyDescent="0.3">
      <c r="A55" s="47" t="s">
        <v>39</v>
      </c>
      <c r="B55" s="48">
        <f>IF(B51="Sí",MIN(B50,B53:B54),MIN(B50,B52:B54))</f>
        <v>0</v>
      </c>
      <c r="C55" s="56" t="e">
        <f>(B55*C40)/B15</f>
        <v>#DIV/0!</v>
      </c>
      <c r="D55" s="1"/>
    </row>
    <row r="56" spans="1:4" ht="17.45" customHeight="1" x14ac:dyDescent="0.25">
      <c r="A56" s="28" t="s">
        <v>40</v>
      </c>
      <c r="B56" s="29" t="str">
        <f>IF(AND(B14&lt;2000,C11=3),"RELLENAR",IF(AND(B14&lt;2000,C11=5),"RELLENAR",IF(AND(B14&lt;2000,C11=6),"RELLENAR",IF(AND(B14&lt;2000,C11=8),"RELLENAR",IF(C11=10,"EXPED. RELACIONADO",IF(C11=11,"EXPED. RELACIONADO","NO RELLENAR"))))))</f>
        <v>NO RELLENAR</v>
      </c>
      <c r="C56" s="40" t="s">
        <v>14</v>
      </c>
      <c r="D56" s="1"/>
    </row>
    <row r="57" spans="1:4" ht="15" customHeight="1" x14ac:dyDescent="0.25">
      <c r="A57" s="45" t="s">
        <v>41</v>
      </c>
      <c r="B57" s="104">
        <v>0</v>
      </c>
      <c r="C57" s="56" t="e">
        <f>(B57*C40)/B15</f>
        <v>#DIV/0!</v>
      </c>
      <c r="D57" s="1"/>
    </row>
    <row r="58" spans="1:4" ht="15" customHeight="1" x14ac:dyDescent="0.25">
      <c r="A58" s="45" t="s">
        <v>36</v>
      </c>
      <c r="B58" s="54">
        <f>IF(B15&gt;=21,(12000+300*B15),IF(B15&gt;=1,(4000+700*B15),0))</f>
        <v>0</v>
      </c>
      <c r="C58" s="40"/>
      <c r="D58" s="11"/>
    </row>
    <row r="59" spans="1:4" ht="15" customHeight="1" x14ac:dyDescent="0.25">
      <c r="A59" s="50" t="s">
        <v>42</v>
      </c>
      <c r="B59" s="13">
        <v>30000</v>
      </c>
      <c r="C59" s="40"/>
      <c r="D59" s="1"/>
    </row>
    <row r="60" spans="1:4" ht="15" customHeight="1" thickBot="1" x14ac:dyDescent="0.3">
      <c r="A60" s="47" t="s">
        <v>43</v>
      </c>
      <c r="B60" s="48">
        <f>MIN(B57:B59)</f>
        <v>0</v>
      </c>
      <c r="C60" s="56" t="e">
        <f>(B60*C40)/B15</f>
        <v>#DIV/0!</v>
      </c>
      <c r="D60" s="1"/>
    </row>
    <row r="61" spans="1:4" ht="17.25" customHeight="1" x14ac:dyDescent="0.25">
      <c r="A61" s="31" t="s">
        <v>44</v>
      </c>
      <c r="B61" s="14">
        <f>IF(C11=1,B31+B34,IF(C11=2,B43,IF(C11=3,B50+B57,IF(C11=4,B50,IF(C11=5,B57,IF(C11=6,B31+B34+B50+B57,IF(C11=7,B31+B34+B50,IF(C11=8,B31+B34+B57,IF(C11=9,B43+B50,IF(C11=10,B31+B34,IF(C11=11,B31+B34+B50,0)))))))))))</f>
        <v>0</v>
      </c>
      <c r="C61" s="40"/>
      <c r="D61" s="1"/>
    </row>
    <row r="62" spans="1:4" ht="17.25" customHeight="1" x14ac:dyDescent="0.25">
      <c r="A62" s="32" t="s">
        <v>45</v>
      </c>
      <c r="B62" s="16">
        <f>IF(C11=1,B32+B34,IF(C11=2,B44,IF(C11=3,B50+B57,IF(C11=4,B50,IF(C11=5,B57,IF(C11=6,B32+B34+B50+B57,IF(C11=7,B32+B34+B50,IF(C11=8,B32+B34+B57,IF(C11=9,B44+B50,IF(C11=10,B32+B34,IF(C11=11,B32+B34+B50,0)))))))))))</f>
        <v>0</v>
      </c>
      <c r="C62" s="40"/>
      <c r="D62" s="1"/>
    </row>
    <row r="63" spans="1:4" ht="17.25" customHeight="1" thickBot="1" x14ac:dyDescent="0.3">
      <c r="A63" s="33" t="s">
        <v>128</v>
      </c>
      <c r="B63" s="15">
        <f>IF(C11=1,B41,IF(C11=2,B48,IF(C11=3,B55+B60,IF(C11=4,B55,IF(C11=5,B60,IF(C11=6,B41+B55+B60,IF(C11=7,B41+B55,IF(C11=8,B41+B60,IF(C11=9,B48+B55,IF(C11=10,B41,IF(C11=11,B41+B55,0)))))))))))</f>
        <v>0</v>
      </c>
      <c r="C63" s="40">
        <f>IF(B63="NO PROCEDE",1,2)</f>
        <v>2</v>
      </c>
      <c r="D63" s="40"/>
    </row>
    <row r="64" spans="1:4" ht="21" x14ac:dyDescent="0.25">
      <c r="A64" s="92" t="s">
        <v>118</v>
      </c>
      <c r="B64" s="92"/>
      <c r="C64" s="37"/>
      <c r="D64" s="21"/>
    </row>
    <row r="65" spans="1:2" ht="30.75" customHeight="1" x14ac:dyDescent="0.25">
      <c r="A65" s="110" t="s">
        <v>46</v>
      </c>
      <c r="B65" s="110"/>
    </row>
    <row r="66" spans="1:2" ht="18" x14ac:dyDescent="0.25">
      <c r="A66" s="34"/>
    </row>
  </sheetData>
  <sheetProtection algorithmName="SHA-512" hashValue="CoRuVnbg5vfCVAhlLXodhmEgQm+CCti3JrGOmko7VRwU0ZBPxRGh2BdBov79xEHrgKl6zZgBP7qzC0cPiBSiPw==" saltValue="zo3pFewr4L3v9SythbY7dQ==" spinCount="100000" sheet="1" selectLockedCells="1"/>
  <protectedRanges>
    <protectedRange sqref="B4" name="Rango1"/>
  </protectedRanges>
  <mergeCells count="11">
    <mergeCell ref="A2:B2"/>
    <mergeCell ref="A65:B65"/>
    <mergeCell ref="A29:B29"/>
    <mergeCell ref="A3:B3"/>
    <mergeCell ref="A5:B5"/>
    <mergeCell ref="A24:B24"/>
    <mergeCell ref="A18:B18"/>
    <mergeCell ref="A7:B7"/>
    <mergeCell ref="A8:B8"/>
    <mergeCell ref="A10:B10"/>
    <mergeCell ref="A11:B11"/>
  </mergeCells>
  <conditionalFormatting sqref="A11:B11">
    <cfRule type="expression" dxfId="40" priority="3">
      <formula>C11=10</formula>
    </cfRule>
    <cfRule type="expression" dxfId="39" priority="4">
      <formula>C11=11</formula>
    </cfRule>
  </conditionalFormatting>
  <conditionalFormatting sqref="A64:B64">
    <cfRule type="expression" dxfId="38" priority="7">
      <formula>$C$11=11</formula>
    </cfRule>
    <cfRule type="expression" dxfId="37" priority="8">
      <formula>$C$11=10</formula>
    </cfRule>
  </conditionalFormatting>
  <conditionalFormatting sqref="B19">
    <cfRule type="expression" dxfId="36" priority="16">
      <formula>C11=5</formula>
    </cfRule>
    <cfRule type="expression" dxfId="35" priority="17">
      <formula>C11=4</formula>
    </cfRule>
    <cfRule type="expression" dxfId="34" priority="18">
      <formula>C11=3</formula>
    </cfRule>
    <cfRule type="expression" dxfId="33" priority="19">
      <formula>C11="ERROR"</formula>
    </cfRule>
  </conditionalFormatting>
  <conditionalFormatting sqref="B20">
    <cfRule type="expression" dxfId="32" priority="27">
      <formula>$B$25="REVISAR VALORES"</formula>
    </cfRule>
  </conditionalFormatting>
  <conditionalFormatting sqref="B21:B22">
    <cfRule type="expression" dxfId="31" priority="23">
      <formula>$B$19="Elegir"</formula>
    </cfRule>
  </conditionalFormatting>
  <conditionalFormatting sqref="B21:B23">
    <cfRule type="expression" dxfId="30" priority="20">
      <formula>$B$20="REVISAR VALORES"</formula>
    </cfRule>
  </conditionalFormatting>
  <conditionalFormatting sqref="B23">
    <cfRule type="expression" dxfId="29" priority="48">
      <formula>B19="P4"</formula>
    </cfRule>
  </conditionalFormatting>
  <conditionalFormatting sqref="B25">
    <cfRule type="expression" dxfId="28" priority="33">
      <formula>$B$25="REVISAR VALORES"</formula>
    </cfRule>
  </conditionalFormatting>
  <conditionalFormatting sqref="B26">
    <cfRule type="expression" dxfId="27" priority="26">
      <formula>B25="REVISAR VALORES"</formula>
    </cfRule>
  </conditionalFormatting>
  <conditionalFormatting sqref="B26:B27">
    <cfRule type="expression" dxfId="26" priority="34">
      <formula>B21="No"</formula>
    </cfRule>
    <cfRule type="expression" dxfId="25" priority="46">
      <formula>B21="Sí"</formula>
    </cfRule>
  </conditionalFormatting>
  <conditionalFormatting sqref="B27">
    <cfRule type="expression" dxfId="24" priority="25">
      <formula>B25="REVISAR VALORES"</formula>
    </cfRule>
  </conditionalFormatting>
  <conditionalFormatting sqref="B30">
    <cfRule type="expression" dxfId="23" priority="60">
      <formula>B30="RELLENAR"</formula>
    </cfRule>
    <cfRule type="expression" dxfId="22" priority="69">
      <formula>B30="NO RELLENAR"</formula>
    </cfRule>
  </conditionalFormatting>
  <conditionalFormatting sqref="B31">
    <cfRule type="expression" dxfId="21" priority="71">
      <formula>B30="NO RELLENAR"</formula>
    </cfRule>
  </conditionalFormatting>
  <conditionalFormatting sqref="B32">
    <cfRule type="expression" dxfId="20" priority="70">
      <formula>B30="NO RELLENAR"</formula>
    </cfRule>
  </conditionalFormatting>
  <conditionalFormatting sqref="B33">
    <cfRule type="expression" dxfId="19" priority="39">
      <formula>B30="RELLENAR"</formula>
    </cfRule>
  </conditionalFormatting>
  <conditionalFormatting sqref="B34">
    <cfRule type="expression" dxfId="18" priority="38">
      <formula>B33="Sí"</formula>
    </cfRule>
  </conditionalFormatting>
  <conditionalFormatting sqref="B42">
    <cfRule type="expression" dxfId="17" priority="59">
      <formula>B42="RELLENAR"</formula>
    </cfRule>
    <cfRule type="expression" dxfId="16" priority="66">
      <formula>B42="NO RELLENAR"</formula>
    </cfRule>
  </conditionalFormatting>
  <conditionalFormatting sqref="B43">
    <cfRule type="expression" dxfId="15" priority="68">
      <formula>B42="NO RELLENAR"</formula>
    </cfRule>
  </conditionalFormatting>
  <conditionalFormatting sqref="B44">
    <cfRule type="expression" dxfId="14" priority="40">
      <formula>B42="NO RELLENAR"</formula>
    </cfRule>
  </conditionalFormatting>
  <conditionalFormatting sqref="B49">
    <cfRule type="expression" dxfId="13" priority="58">
      <formula>B49="RELLENAR"</formula>
    </cfRule>
    <cfRule type="expression" dxfId="12" priority="64">
      <formula>B49="NO SUBVENCIONABLE"</formula>
    </cfRule>
    <cfRule type="expression" dxfId="11" priority="65">
      <formula>B49="NO RELLENAR"</formula>
    </cfRule>
  </conditionalFormatting>
  <conditionalFormatting sqref="B50">
    <cfRule type="expression" dxfId="10" priority="51">
      <formula>B49="NO SUBVENCIONABLE"</formula>
    </cfRule>
    <cfRule type="expression" dxfId="9" priority="55">
      <formula>B49="NO RELLENAR"</formula>
    </cfRule>
  </conditionalFormatting>
  <conditionalFormatting sqref="B51">
    <cfRule type="expression" dxfId="8" priority="50">
      <formula>B49="NO SUBVENCIONABLE"</formula>
    </cfRule>
    <cfRule type="expression" dxfId="7" priority="54">
      <formula>B49="NO RELLENAR"</formula>
    </cfRule>
  </conditionalFormatting>
  <conditionalFormatting sqref="B56">
    <cfRule type="expression" dxfId="6" priority="6">
      <formula>B56="EXPED. RELACIONADO"</formula>
    </cfRule>
    <cfRule type="expression" dxfId="5" priority="56">
      <formula>B56="NO RELLENAR"</formula>
    </cfRule>
    <cfRule type="expression" dxfId="4" priority="57">
      <formula>B56="RELLENAR"</formula>
    </cfRule>
    <cfRule type="expression" dxfId="3" priority="61">
      <formula>B56="NO SUBVENCIONABLE"</formula>
    </cfRule>
  </conditionalFormatting>
  <conditionalFormatting sqref="B57">
    <cfRule type="expression" dxfId="2" priority="5">
      <formula>B56="EXPED. RELACIONADO"</formula>
    </cfRule>
    <cfRule type="expression" dxfId="1" priority="49">
      <formula>B56="NO SUBVENCIONABLE"</formula>
    </cfRule>
    <cfRule type="expression" dxfId="0" priority="52">
      <formula>B56="NO RELLENAR"</formula>
    </cfRule>
  </conditionalFormatting>
  <dataValidations xWindow="945" yWindow="666" count="2">
    <dataValidation showInputMessage="1" showErrorMessage="1" sqref="B35" xr:uid="{00000000-0002-0000-0000-000000000000}"/>
    <dataValidation operator="greaterThan" allowBlank="1" showInputMessage="1" showErrorMessage="1" error="El coste mínimo de la actuación ha de ser igual o superior a 1.000 euros por vivienda." prompt="El coste mínimo de la actuación ha de ser igual o superior a 1.000 euros por vivienda." sqref="B43:B44" xr:uid="{00000000-0002-0000-0000-000001000000}"/>
  </dataValidations>
  <pageMargins left="0.7" right="0.7" top="0.75" bottom="0.75" header="0.3" footer="0.3"/>
  <pageSetup paperSize="9" scale="64" orientation="portrait" r:id="rId1"/>
  <drawing r:id="rId2"/>
  <legacyDrawing r:id="rId3"/>
  <extLst>
    <ext xmlns:x14="http://schemas.microsoft.com/office/spreadsheetml/2009/9/main" uri="{CCE6A557-97BC-4b89-ADB6-D9C93CAAB3DF}">
      <x14:dataValidations xmlns:xm="http://schemas.microsoft.com/office/excel/2006/main" xWindow="945" yWindow="666" count="4">
        <x14:dataValidation type="list" allowBlank="1" showInputMessage="1" showErrorMessage="1" xr:uid="{00000000-0002-0000-0000-000002000000}">
          <x14:formula1>
            <xm:f>Full1!$A$2:$A$4</xm:f>
          </x14:formula1>
          <xm:sqref>B21:B23 B51 B33</xm:sqref>
        </x14:dataValidation>
        <x14:dataValidation type="list" allowBlank="1" showInputMessage="1" showErrorMessage="1" xr:uid="{00000000-0002-0000-0000-000003000000}">
          <x14:formula1>
            <xm:f>Full1!$A$7:$A$11</xm:f>
          </x14:formula1>
          <xm:sqref>B19</xm:sqref>
        </x14:dataValidation>
        <x14:dataValidation type="list" allowBlank="1" showInputMessage="1" showErrorMessage="1" xr:uid="{00000000-0002-0000-0000-000004000000}">
          <x14:formula1>
            <xm:f>Full1!$A$28:$A$34</xm:f>
          </x14:formula1>
          <xm:sqref>A8:B8</xm:sqref>
        </x14:dataValidation>
        <x14:dataValidation type="list" allowBlank="1" showInputMessage="1" showErrorMessage="1" xr:uid="{00000000-0002-0000-0000-000005000000}">
          <x14:formula1>
            <xm:f>Full1!$A$14:$A$25</xm:f>
          </x14:formula1>
          <xm:sqref>A11:B11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35"/>
  <sheetViews>
    <sheetView showGridLines="0" topLeftCell="A5" zoomScaleNormal="100" workbookViewId="0">
      <selection activeCell="B17" sqref="B17:C17"/>
    </sheetView>
  </sheetViews>
  <sheetFormatPr baseColWidth="10" defaultColWidth="8.85546875" defaultRowHeight="15" x14ac:dyDescent="0.25"/>
  <cols>
    <col min="1" max="1" width="41.7109375" style="17" customWidth="1" collapsed="1"/>
    <col min="2" max="2" width="40.7109375" style="17" customWidth="1"/>
    <col min="3" max="3" width="45.7109375" style="17" customWidth="1" collapsed="1"/>
    <col min="4" max="4" width="13.7109375" style="71" hidden="1" customWidth="1" collapsed="1"/>
    <col min="5" max="5" width="18.28515625" style="35" customWidth="1" collapsed="1"/>
    <col min="6" max="6" width="20.7109375" style="17" customWidth="1" collapsed="1"/>
    <col min="7" max="7" width="20.140625" style="17" customWidth="1" collapsed="1"/>
    <col min="8" max="8" width="21" style="17" customWidth="1" collapsed="1"/>
    <col min="9" max="9" width="13.7109375" style="17" customWidth="1" collapsed="1"/>
    <col min="10" max="10" width="10.42578125" style="17" customWidth="1" collapsed="1"/>
    <col min="11" max="11" width="11.7109375" style="17" customWidth="1" collapsed="1"/>
    <col min="12" max="12" width="8.85546875" style="17" collapsed="1"/>
    <col min="13" max="13" width="8.85546875" style="17"/>
    <col min="14" max="16384" width="8.85546875" style="17" collapsed="1"/>
  </cols>
  <sheetData>
    <row r="2" spans="1:11" ht="51" customHeight="1" x14ac:dyDescent="0.25">
      <c r="A2" s="109"/>
      <c r="B2" s="109"/>
      <c r="C2" s="109"/>
      <c r="H2" s="18"/>
      <c r="I2" s="18"/>
      <c r="J2" s="19"/>
      <c r="K2" s="19"/>
    </row>
    <row r="3" spans="1:11" ht="51" customHeight="1" x14ac:dyDescent="0.25">
      <c r="A3" s="126" t="s">
        <v>47</v>
      </c>
      <c r="B3" s="126"/>
      <c r="C3" s="126"/>
      <c r="D3" s="78"/>
      <c r="E3" s="36"/>
      <c r="F3" s="20"/>
      <c r="G3" s="21"/>
      <c r="H3" s="22"/>
      <c r="I3" s="22"/>
      <c r="J3" s="23"/>
      <c r="K3" s="23"/>
    </row>
    <row r="4" spans="1:11" ht="21" x14ac:dyDescent="0.25">
      <c r="B4" s="61" t="s">
        <v>1</v>
      </c>
      <c r="C4" s="62"/>
      <c r="D4" s="79"/>
      <c r="E4" s="37"/>
      <c r="F4" s="24"/>
    </row>
    <row r="5" spans="1:11" ht="21" x14ac:dyDescent="0.25">
      <c r="A5" s="106" t="s">
        <v>2</v>
      </c>
      <c r="B5" s="107"/>
      <c r="C5" s="108"/>
    </row>
    <row r="6" spans="1:11" ht="15" customHeight="1" thickBot="1" x14ac:dyDescent="0.3"/>
    <row r="7" spans="1:11" ht="18.75" x14ac:dyDescent="0.25">
      <c r="A7" s="118" t="s">
        <v>5</v>
      </c>
      <c r="B7" s="127"/>
      <c r="C7" s="119"/>
    </row>
    <row r="8" spans="1:11" ht="36" customHeight="1" thickBot="1" x14ac:dyDescent="0.3">
      <c r="A8" s="129" t="s">
        <v>89</v>
      </c>
      <c r="B8" s="130"/>
      <c r="C8" s="131"/>
    </row>
    <row r="9" spans="1:11" ht="15" customHeight="1" thickBot="1" x14ac:dyDescent="0.3"/>
    <row r="10" spans="1:11" ht="18.75" customHeight="1" x14ac:dyDescent="0.25">
      <c r="A10" s="118" t="s">
        <v>48</v>
      </c>
      <c r="B10" s="127"/>
      <c r="C10" s="119"/>
    </row>
    <row r="11" spans="1:11" ht="36" customHeight="1" thickBot="1" x14ac:dyDescent="0.3">
      <c r="A11" s="120" t="s">
        <v>6</v>
      </c>
      <c r="B11" s="144"/>
      <c r="C11" s="121"/>
      <c r="D11" s="71" t="str">
        <f>IF(A11="1. Vivienda en edificio plurifamiliar",1,IF(A11="2. Vivienda unifamiliar",2,"ERROR"))</f>
        <v>ERROR</v>
      </c>
    </row>
    <row r="12" spans="1:11" ht="15" customHeight="1" thickBot="1" x14ac:dyDescent="0.3"/>
    <row r="13" spans="1:11" ht="18.75" customHeight="1" x14ac:dyDescent="0.25">
      <c r="A13" s="118" t="s">
        <v>49</v>
      </c>
      <c r="B13" s="127"/>
      <c r="C13" s="119"/>
    </row>
    <row r="14" spans="1:11" ht="15" customHeight="1" x14ac:dyDescent="0.25">
      <c r="A14" s="45" t="s">
        <v>125</v>
      </c>
      <c r="B14" s="145">
        <v>1</v>
      </c>
      <c r="C14" s="146"/>
      <c r="D14" s="72"/>
    </row>
    <row r="15" spans="1:11" ht="15" hidden="1" customHeight="1" x14ac:dyDescent="0.25">
      <c r="A15" s="45" t="s">
        <v>50</v>
      </c>
      <c r="B15" s="99"/>
      <c r="C15" s="70">
        <f>VLOOKUP(B14,Full1!A42:B49,2,FALSE)</f>
        <v>1</v>
      </c>
      <c r="D15" s="72"/>
    </row>
    <row r="16" spans="1:11" ht="15" customHeight="1" x14ac:dyDescent="0.25">
      <c r="A16" s="45" t="s">
        <v>51</v>
      </c>
      <c r="B16" s="124">
        <v>0</v>
      </c>
      <c r="C16" s="125"/>
      <c r="D16" s="72"/>
    </row>
    <row r="17" spans="1:4" ht="15" customHeight="1" x14ac:dyDescent="0.25">
      <c r="A17" s="45" t="s">
        <v>122</v>
      </c>
      <c r="B17" s="132">
        <v>2020</v>
      </c>
      <c r="C17" s="133"/>
      <c r="D17" s="72">
        <f>IF(B17=2020,7519.59,IF(B17=2021,7908.6,IF(B17=2022,8106.28,IF(B17=2023,8400,"ERROR"))))</f>
        <v>7519.59</v>
      </c>
    </row>
    <row r="18" spans="1:4" ht="129" customHeight="1" thickBot="1" x14ac:dyDescent="0.3">
      <c r="A18" s="129" t="s">
        <v>127</v>
      </c>
      <c r="B18" s="130"/>
      <c r="C18" s="131"/>
      <c r="D18" s="72"/>
    </row>
    <row r="19" spans="1:4" ht="15" customHeight="1" thickBot="1" x14ac:dyDescent="0.3"/>
    <row r="20" spans="1:4" ht="18.75" customHeight="1" x14ac:dyDescent="0.25">
      <c r="A20" s="118" t="s">
        <v>52</v>
      </c>
      <c r="B20" s="127"/>
      <c r="C20" s="119"/>
    </row>
    <row r="21" spans="1:4" ht="21" customHeight="1" x14ac:dyDescent="0.25">
      <c r="A21" s="134" t="s">
        <v>53</v>
      </c>
      <c r="B21" s="135"/>
      <c r="C21" s="75" t="e">
        <f>IF(OR(C22=0,C23=0,C24=0),"REVISAR PESTAÑA 1","")</f>
        <v>#DIV/0!</v>
      </c>
    </row>
    <row r="22" spans="1:4" ht="15" customHeight="1" x14ac:dyDescent="0.25">
      <c r="A22" s="136" t="s">
        <v>54</v>
      </c>
      <c r="B22" s="137"/>
      <c r="C22" s="76">
        <f>'1. Calculadora de AYUDA - RR345'!B26</f>
        <v>0</v>
      </c>
      <c r="D22" s="71" t="str">
        <f>IF(AND(C22&gt;=0.3,C22&lt;0.45),1,IF(AND(C22&gt;=0.45,C22&lt;0.6),2,IF(C22&gt;=0.6,3,"ERROR")))</f>
        <v>ERROR</v>
      </c>
    </row>
    <row r="23" spans="1:4" ht="15" customHeight="1" x14ac:dyDescent="0.25">
      <c r="A23" s="136" t="s">
        <v>55</v>
      </c>
      <c r="B23" s="137"/>
      <c r="C23" s="13" t="e">
        <f>'1. Calculadora de AYUDA - RR345'!C32+'1. Calculadora de AYUDA - RR345'!C57</f>
        <v>#DIV/0!</v>
      </c>
      <c r="D23" s="72"/>
    </row>
    <row r="24" spans="1:4" ht="15" customHeight="1" thickBot="1" x14ac:dyDescent="0.3">
      <c r="A24" s="138" t="s">
        <v>56</v>
      </c>
      <c r="B24" s="139"/>
      <c r="C24" s="77" t="e">
        <f>'1. Calculadora de AYUDA - RR345'!C41+'1. Calculadora de AYUDA - RR345'!C60</f>
        <v>#DIV/0!</v>
      </c>
      <c r="D24" s="72"/>
    </row>
    <row r="25" spans="1:4" ht="15" customHeight="1" thickBot="1" x14ac:dyDescent="0.3">
      <c r="D25" s="72"/>
    </row>
    <row r="26" spans="1:4" ht="17.25" customHeight="1" x14ac:dyDescent="0.25">
      <c r="A26" s="31" t="s">
        <v>124</v>
      </c>
      <c r="B26" s="100"/>
      <c r="C26" s="102">
        <f>B16*C15/D17</f>
        <v>0</v>
      </c>
      <c r="D26" s="72">
        <f>IF(C26&lt;=2.1,1,IF(AND(C26&gt;2.1,C26&lt;=2.6),2,"ERROR"))</f>
        <v>1</v>
      </c>
    </row>
    <row r="27" spans="1:4" ht="17.25" customHeight="1" x14ac:dyDescent="0.25">
      <c r="A27" s="140" t="s">
        <v>57</v>
      </c>
      <c r="B27" s="141"/>
      <c r="C27" s="73" t="str">
        <f>IF(AND(D11=1,D22=1,D26=1),"+60,00%",IF(AND(D11=1,D22=2,D26=1),"+35,00%",IF(AND(D11=1,D22=3,D26=1),"+20,00%",IF(AND(D11=1,D22=1,D26=2),"+20,00%",IF(AND(D11=1,D22=2,D26=2),"+10,00%",IF(AND(D11=1,D22=3,D26=2),"+10,00%",IF(AND(D11=2,D22=1,D26=1),"+60,00%",IF(AND(D11=2,D22=2,D26=1),"+35,00%",IF(AND(D11=2,D22=3,D26=1),"+20,00%",IF(AND(D11=2,D22=1,D26=2),"+20,00%",IF(AND(D11=2,D22=2,D26=2),"+10,00%",IF(AND(D11=2,D22=3,D26=2),"+10,00%","NO PROCEDE"))))))))))))</f>
        <v>NO PROCEDE</v>
      </c>
      <c r="D27" s="72"/>
    </row>
    <row r="28" spans="1:4" ht="17.25" hidden="1" customHeight="1" x14ac:dyDescent="0.25">
      <c r="A28" s="32" t="s">
        <v>58</v>
      </c>
      <c r="B28" s="101"/>
      <c r="C28" s="73" t="str">
        <f>IF(AND(D11=1,D22=1,D26=1),C23*1-C24,IF(AND(D11=1,D22=2,D26=1),C23*1-C24,IF(AND(D11=1,D22=3,D26=1),C23*1-C24,IF(AND(D11=1,D22=1,D26=2),C23*0.6-C24,IF(AND(D11=1,D22=2,D26=2),C23*0.75-C24,IF(AND(D11=1,D22=3,D26=2),C23*0.9-C24,IF(AND(D11=2,D22=1,D26=1),C23*1-C24,IF(AND(D11=2,D22=2,D26=1),C23*1-C24,IF(AND(D11=2,D22=3,D26=1),C23*1-C24,IF(AND(D11=2,D22=1,D26=2),C23*0.6-C24,IF(AND(D11=2,D22=2,D26=2),C23*0.75-C24,IF(AND(D11=2,D22=3,D26=2),C23*0.9-C24,"NO PROCEDE"))))))))))))</f>
        <v>NO PROCEDE</v>
      </c>
      <c r="D28" s="72"/>
    </row>
    <row r="29" spans="1:4" ht="17.25" hidden="1" customHeight="1" x14ac:dyDescent="0.25">
      <c r="A29" s="32" t="s">
        <v>59</v>
      </c>
      <c r="B29" s="101"/>
      <c r="C29" s="73" t="str">
        <f>IF(AND(D11=1,D22=1,D26=1),15750-C24,IF(AND(D11=1,D22=2,D26=1),17846.15-C24,IF(AND(D11=1,D22=3,D26=1),23500-C24,IF(AND(D11=1,D22=1,D26=2),9450-C24,IF(AND(D11=1,D22=2,D26=2),13384.61-C24,IF(AND(D11=1,D22=3,D26=2),21150-C24,IF(AND(D11=2,D22=1,D26=1),20250-C24,IF(AND(D11=2,D22=2,D26=1),22308-C24,IF(AND(D11=2,D22=3,D26=1),26750-C24,IF(AND(D11=2,D22=1,D26=2),12150-C24,IF(AND(D11=2,D22=2,D26=2),16731-C24,IF(AND(D11=2,D22=3,D26=2),24075-C24,"NO PROCEDE"))))))))))))</f>
        <v>NO PROCEDE</v>
      </c>
      <c r="D29" s="80"/>
    </row>
    <row r="30" spans="1:4" ht="17.25" customHeight="1" thickBot="1" x14ac:dyDescent="0.3">
      <c r="A30" s="142" t="s">
        <v>60</v>
      </c>
      <c r="B30" s="143"/>
      <c r="C30" s="74">
        <f>IF(C31&gt;0,C31,0)</f>
        <v>0</v>
      </c>
      <c r="D30" s="72">
        <f>IF(C30="NO PROCEDE",1,2)</f>
        <v>2</v>
      </c>
    </row>
    <row r="31" spans="1:4" ht="17.25" customHeight="1" thickBot="1" x14ac:dyDescent="0.3">
      <c r="A31" s="142" t="s">
        <v>60</v>
      </c>
      <c r="B31" s="143"/>
      <c r="C31" s="74">
        <f>((IF(C27&lt;&gt;"NO PROCEDE",MIN(C28,C29),0))*C32)/100</f>
        <v>0</v>
      </c>
      <c r="D31" s="72">
        <f>IF(C31="NO PROCEDE",1,2)</f>
        <v>2</v>
      </c>
    </row>
    <row r="32" spans="1:4" ht="15.75" thickBot="1" x14ac:dyDescent="0.3">
      <c r="A32" s="122" t="s">
        <v>129</v>
      </c>
      <c r="B32" s="123"/>
      <c r="C32" s="105">
        <v>100</v>
      </c>
      <c r="D32" s="72"/>
    </row>
    <row r="33" spans="1:5" ht="36" customHeight="1" x14ac:dyDescent="0.25">
      <c r="A33" s="128" t="s">
        <v>46</v>
      </c>
      <c r="B33" s="128"/>
      <c r="C33" s="128"/>
      <c r="D33" s="35"/>
      <c r="E33" s="17"/>
    </row>
    <row r="35" spans="1:5" ht="18" x14ac:dyDescent="0.25">
      <c r="A35" s="34"/>
      <c r="B35" s="34"/>
    </row>
  </sheetData>
  <sheetProtection algorithmName="SHA-512" hashValue="fIN1/NQGuBtqX8wnj4I1SYTsOFtUG29Sky2kMxMAw9JYXPDObJKKxgjphL8RhFs5h29WgRmQC/Ihpvq30b9gxg==" saltValue="e5V5HF2KLp+pq00CItYLcA==" spinCount="100000" sheet="1" selectLockedCells="1"/>
  <mergeCells count="22">
    <mergeCell ref="A33:C33"/>
    <mergeCell ref="A7:C7"/>
    <mergeCell ref="A8:C8"/>
    <mergeCell ref="A18:C18"/>
    <mergeCell ref="B17:C17"/>
    <mergeCell ref="A21:B21"/>
    <mergeCell ref="A22:B22"/>
    <mergeCell ref="A23:B23"/>
    <mergeCell ref="A24:B24"/>
    <mergeCell ref="A27:B27"/>
    <mergeCell ref="A31:B31"/>
    <mergeCell ref="A10:C10"/>
    <mergeCell ref="A30:B30"/>
    <mergeCell ref="A11:C11"/>
    <mergeCell ref="B14:C14"/>
    <mergeCell ref="A13:C13"/>
    <mergeCell ref="A32:B32"/>
    <mergeCell ref="A2:C2"/>
    <mergeCell ref="B16:C16"/>
    <mergeCell ref="A3:C3"/>
    <mergeCell ref="A5:C5"/>
    <mergeCell ref="A20:C20"/>
  </mergeCells>
  <dataValidations count="1">
    <dataValidation type="decimal" allowBlank="1" showInputMessage="1" showErrorMessage="1" sqref="C32" xr:uid="{73E369C7-242C-4A0C-AB0A-532AA49F4727}">
      <formula1>0</formula1>
      <formula2>100</formula2>
    </dataValidation>
  </dataValidations>
  <pageMargins left="0.7" right="0.7" top="0.75" bottom="0.75" header="0.3" footer="0.3"/>
  <pageSetup paperSize="9" scale="68" orientation="portrait" r:id="rId1"/>
  <ignoredErrors>
    <ignoredError sqref="C21 C23:C24" evalError="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Full1!$A$37:$A$39</xm:f>
          </x14:formula1>
          <xm:sqref>A11:C11</xm:sqref>
        </x14:dataValidation>
        <x14:dataValidation type="list" allowBlank="1" showInputMessage="1" showErrorMessage="1" xr:uid="{00000000-0002-0000-0100-000001000000}">
          <x14:formula1>
            <xm:f>Full1!$A$42:$A$49</xm:f>
          </x14:formula1>
          <xm:sqref>B14</xm:sqref>
        </x14:dataValidation>
        <x14:dataValidation type="list" allowBlank="1" showInputMessage="1" showErrorMessage="1" xr:uid="{00000000-0002-0000-0100-000002000000}">
          <x14:formula1>
            <xm:f>Full1!$A$63:$A$66</xm:f>
          </x14:formula1>
          <xm:sqref>B17:C17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30"/>
  <sheetViews>
    <sheetView showGridLines="0" topLeftCell="A3" workbookViewId="0">
      <selection activeCell="A8" sqref="A8:B8"/>
    </sheetView>
  </sheetViews>
  <sheetFormatPr baseColWidth="10" defaultColWidth="8.85546875" defaultRowHeight="15" x14ac:dyDescent="0.25"/>
  <cols>
    <col min="1" max="1" width="90.7109375" style="17" customWidth="1" collapsed="1"/>
    <col min="2" max="2" width="36.7109375" style="17" customWidth="1" collapsed="1"/>
    <col min="3" max="3" width="10.42578125" style="71" hidden="1" customWidth="1" collapsed="1"/>
    <col min="4" max="4" width="18.28515625" style="35" customWidth="1" collapsed="1"/>
    <col min="5" max="5" width="20.7109375" style="17" customWidth="1" collapsed="1"/>
    <col min="6" max="6" width="20.140625" style="17" customWidth="1" collapsed="1"/>
    <col min="7" max="7" width="21" style="17" customWidth="1" collapsed="1"/>
    <col min="8" max="8" width="13.7109375" style="17" customWidth="1" collapsed="1"/>
    <col min="9" max="9" width="10.42578125" style="17" customWidth="1" collapsed="1"/>
    <col min="10" max="10" width="11.7109375" style="17" customWidth="1" collapsed="1"/>
    <col min="11" max="11" width="8.85546875" style="17" collapsed="1"/>
    <col min="12" max="12" width="8.85546875" style="17"/>
    <col min="13" max="16384" width="8.85546875" style="17" collapsed="1"/>
  </cols>
  <sheetData>
    <row r="2" spans="1:10" ht="51" customHeight="1" x14ac:dyDescent="0.25">
      <c r="A2" s="109"/>
      <c r="B2" s="109"/>
      <c r="G2" s="18"/>
      <c r="H2" s="18"/>
      <c r="I2" s="19"/>
      <c r="J2" s="19"/>
    </row>
    <row r="3" spans="1:10" ht="51" customHeight="1" x14ac:dyDescent="0.25">
      <c r="A3" s="126" t="s">
        <v>61</v>
      </c>
      <c r="B3" s="126"/>
      <c r="C3" s="78"/>
      <c r="D3" s="36"/>
      <c r="E3" s="20"/>
      <c r="F3" s="21"/>
      <c r="G3" s="22"/>
      <c r="H3" s="22"/>
      <c r="I3" s="23"/>
      <c r="J3" s="23"/>
    </row>
    <row r="4" spans="1:10" ht="21" x14ac:dyDescent="0.25">
      <c r="A4" s="61" t="s">
        <v>1</v>
      </c>
      <c r="B4" s="62"/>
      <c r="C4" s="79"/>
      <c r="D4" s="37"/>
      <c r="E4" s="24"/>
    </row>
    <row r="5" spans="1:10" ht="21" x14ac:dyDescent="0.25">
      <c r="A5" s="106" t="s">
        <v>2</v>
      </c>
      <c r="B5" s="108"/>
    </row>
    <row r="6" spans="1:10" ht="15" customHeight="1" thickBot="1" x14ac:dyDescent="0.3"/>
    <row r="7" spans="1:10" ht="18.75" customHeight="1" x14ac:dyDescent="0.25">
      <c r="A7" s="118" t="s">
        <v>48</v>
      </c>
      <c r="B7" s="119"/>
    </row>
    <row r="8" spans="1:10" ht="36" customHeight="1" thickBot="1" x14ac:dyDescent="0.3">
      <c r="A8" s="120" t="s">
        <v>6</v>
      </c>
      <c r="B8" s="121"/>
      <c r="C8" s="82" t="str">
        <f>IF(A8="1. Vivienda habitual, alquilada o en espectativa de alquiler",1,IF(A8="2. Vivienda que forma parte de edificio de uso residencial que se rehabilita energéticamente",2,"ERROR"))</f>
        <v>ERROR</v>
      </c>
    </row>
    <row r="9" spans="1:10" ht="15" customHeight="1" thickBot="1" x14ac:dyDescent="0.3"/>
    <row r="10" spans="1:10" ht="18.75" x14ac:dyDescent="0.25">
      <c r="A10" s="118" t="s">
        <v>5</v>
      </c>
      <c r="B10" s="119"/>
    </row>
    <row r="11" spans="1:10" ht="36" customHeight="1" thickBot="1" x14ac:dyDescent="0.3">
      <c r="A11" s="120" t="s">
        <v>6</v>
      </c>
      <c r="B11" s="121"/>
      <c r="C11" s="71" t="str">
        <f>IF(A11="Reducción de la demanda combinada calefacción + refrigeración ≥ 7,00%",1,IF(A11="Reducción del consumo de energía primaria no renovable  ≥ 30,00%",2,IF(A11="Mejora calificación energética del inmueble obtieniendo clase A o B",3,"ERROR")))</f>
        <v>ERROR</v>
      </c>
    </row>
    <row r="12" spans="1:10" ht="15" customHeight="1" thickBot="1" x14ac:dyDescent="0.3"/>
    <row r="13" spans="1:10" ht="18.75" x14ac:dyDescent="0.25">
      <c r="A13" s="25" t="s">
        <v>62</v>
      </c>
      <c r="B13" s="26"/>
    </row>
    <row r="14" spans="1:10" ht="15" customHeight="1" x14ac:dyDescent="0.25">
      <c r="A14" s="45" t="s">
        <v>63</v>
      </c>
      <c r="B14" s="76" t="str">
        <f>IF(AND(C8=1,C11=1),"Menos de 2 años antes de la actuación",IF(AND(C8=1,C11=2),"Menos de 2 años antes de la actuación",IF(AND(C8=1,C11=3),"Menos de 2 años antes de la actuación",IF(AND(C8=2,C11=1),"No Procede",IF(AND(C8=2,C11=2),"Menos de 2 años antes de la actuación",IF(AND(C8=2,C11=3),"Menos de 2 años antes de la actuación","No Procede"))))))</f>
        <v>No Procede</v>
      </c>
    </row>
    <row r="15" spans="1:10" ht="15" customHeight="1" x14ac:dyDescent="0.25">
      <c r="A15" s="45" t="s">
        <v>64</v>
      </c>
      <c r="B15" s="76" t="str">
        <f>IF(AND(C8=1,C11=1),"Antes de  01/01/2023",IF(AND(C8=1,C11=2),"Antes de  01/01/2023",IF(AND(C8=1,C11=3),"Antes de  01/01/2023",IF(AND(C8=2,C11=1),"No Procede",IF(AND(C8=2,C11=2),"Antes 01/01/2024",IF(AND(C8=2,C11=3),"Antes 01/01/2024","No Procede"))))))</f>
        <v>No Procede</v>
      </c>
    </row>
    <row r="16" spans="1:10" ht="15" customHeight="1" x14ac:dyDescent="0.25">
      <c r="A16" s="45" t="s">
        <v>65</v>
      </c>
      <c r="B16" s="83" t="str">
        <f>IF(AND(C8=1,C11=1),"Propietario del inmueble",IF(AND(C8=1,C11=2),"Propietario del inmueble",IF(AND(C8=1,C11=3),"Propietario del inmueble",IF(AND(C8=2,C11=1),"No Procede",IF(AND(C8=2,C11=2),"Propietario del inmueble",IF(AND(C8=2,C11=3),"Propietario del inmueble","No Procede"))))))</f>
        <v>No Procede</v>
      </c>
    </row>
    <row r="17" spans="1:4" ht="15" customHeight="1" x14ac:dyDescent="0.25">
      <c r="A17" s="45" t="s">
        <v>66</v>
      </c>
      <c r="B17" s="76" t="str">
        <f>IF(AND(C8=1,C11=1),0.2,IF(AND(C8=1,C11=2),0.4,IF(AND(C8=1,C11=3),0.4,IF(AND(C8=2,C11=1),"No Procede",IF(AND(C8=2,C11=2),0.6,IF(AND(C8=2,C11=3),0.6,"No Procede"))))))</f>
        <v>No Procede</v>
      </c>
    </row>
    <row r="18" spans="1:4" ht="15" customHeight="1" x14ac:dyDescent="0.25">
      <c r="A18" s="45" t="s">
        <v>67</v>
      </c>
      <c r="B18" s="76" t="str">
        <f>IF(AND(C8=1,C11=1),"5.000 €/año",IF(AND(C8=1,C11=2),"7,500 €/año",IF(AND(C8=1,C11=3),"7,500 €/año",IF(AND(C8=2,C11=1),"No Procede",IF(AND(C8=2,C11=2),"5.000 €/año sin superar 15.000 €",IF(AND(C8=2,C11=3),"5.000 €/año sin superar 15.000 €","No Procede"))))))</f>
        <v>No Procede</v>
      </c>
    </row>
    <row r="19" spans="1:4" ht="15" customHeight="1" thickBot="1" x14ac:dyDescent="0.3">
      <c r="A19" s="52" t="s">
        <v>68</v>
      </c>
      <c r="B19" s="84" t="str">
        <f>IF(AND(C8=1,C11=1),"Año expedición CEE Reformado",IF(AND(C8=1,C11=2),"Año expedición CEE Reformado",IF(AND(C8=1,C11=3),"Año expedición CEE Reformado",IF(AND(C8=2,C11=1),"No Procede",IF(AND(C8=2,C11=2),"Año expedición CEE Reformado",IF(AND(C8=2,C11=3),"Año expedición CEE Reformado","No Procede"))))))</f>
        <v>No Procede</v>
      </c>
    </row>
    <row r="20" spans="1:4" ht="15" customHeight="1" thickBot="1" x14ac:dyDescent="0.3"/>
    <row r="21" spans="1:4" ht="17.25" customHeight="1" x14ac:dyDescent="0.25">
      <c r="A21" s="31" t="s">
        <v>69</v>
      </c>
      <c r="B21" s="85" t="str">
        <f>IF('1. Calculadora de AYUDA - RR345'!B62&lt;&gt;0,'2. Complemento VULNERABILIDAD'!C23+'1. Calculadora de AYUDA - RR345'!C50,"NO PROCEDE")</f>
        <v>NO PROCEDE</v>
      </c>
    </row>
    <row r="22" spans="1:4" ht="17.25" hidden="1" customHeight="1" x14ac:dyDescent="0.25">
      <c r="A22" s="32" t="s">
        <v>70</v>
      </c>
      <c r="B22" s="73">
        <f>IF('2. Complemento VULNERABILIDAD'!D31=1,0,'2. Complemento VULNERABILIDAD'!C31)</f>
        <v>0</v>
      </c>
    </row>
    <row r="23" spans="1:4" ht="17.25" customHeight="1" x14ac:dyDescent="0.25">
      <c r="A23" s="32" t="s">
        <v>71</v>
      </c>
      <c r="B23" s="73" t="str">
        <f>IF('1. Calculadora de AYUDA - RR345'!B62&lt;&gt;0,'2. Complemento VULNERABILIDAD'!C24+'2. Complemento VULNERABILIDAD'!C30+'1. Calculadora de AYUDA - RR345'!C55,"NO PROCEDE")</f>
        <v>NO PROCEDE</v>
      </c>
    </row>
    <row r="24" spans="1:4" ht="17.25" customHeight="1" x14ac:dyDescent="0.25">
      <c r="A24" s="32" t="s">
        <v>72</v>
      </c>
      <c r="B24" s="73" t="str">
        <f>IF('1. Calculadora de AYUDA - RR345'!B62&lt;&gt;0,B21-B23,"NO PROCEDE")</f>
        <v>NO PROCEDE</v>
      </c>
    </row>
    <row r="25" spans="1:4" ht="17.25" hidden="1" customHeight="1" x14ac:dyDescent="0.25">
      <c r="A25" s="32" t="s">
        <v>73</v>
      </c>
      <c r="B25" s="73">
        <f>IF(B24&lt;&gt;"NO PROCEDE",B24*B17,0)</f>
        <v>0</v>
      </c>
    </row>
    <row r="26" spans="1:4" ht="17.25" hidden="1" customHeight="1" x14ac:dyDescent="0.25">
      <c r="A26" s="32" t="s">
        <v>74</v>
      </c>
      <c r="B26" s="73" t="str">
        <f>IF(AND(C8=1,C11=1),5000,IF(AND(C8=1,C11=2),7500,IF(AND(C8=1,C11=3),7500,IF(AND(C8=2,C11=1),7500,IF(AND(C8=2,C11=2),15000,IF(AND(C8=2,C11=3),15000,"No Procede"))))))</f>
        <v>No Procede</v>
      </c>
    </row>
    <row r="27" spans="1:4" ht="17.25" customHeight="1" thickBot="1" x14ac:dyDescent="0.3">
      <c r="A27" s="33" t="s">
        <v>75</v>
      </c>
      <c r="B27" s="74" t="str">
        <f>IF(AND(C8&lt;&gt;"ERROR",C11&lt;&gt;"ERROR"),MIN(B25,B26),"NO PROCEDE")</f>
        <v>NO PROCEDE</v>
      </c>
      <c r="C27" s="71">
        <f>IF(B27="NO PROCEDE",1,2)</f>
        <v>1</v>
      </c>
    </row>
    <row r="28" spans="1:4" ht="36" customHeight="1" x14ac:dyDescent="0.25">
      <c r="A28" s="128" t="s">
        <v>46</v>
      </c>
      <c r="B28" s="128"/>
      <c r="C28" s="35"/>
      <c r="D28" s="17"/>
    </row>
    <row r="30" spans="1:4" ht="18" x14ac:dyDescent="0.25">
      <c r="A30" s="34"/>
    </row>
  </sheetData>
  <sheetProtection algorithmName="SHA-512" hashValue="z+jpg+tOMRntIM2uT2z+UTugCliAi2bEMmHOinHPR7iJZXPyWb9NclsZ3SiLfirjd3yMnea+f7WuAgJfPO8XYA==" saltValue="7N/GtESVNhCdDftLc5qRSQ==" spinCount="100000" sheet="1" objects="1" scenarios="1" selectLockedCells="1"/>
  <mergeCells count="8">
    <mergeCell ref="A2:B2"/>
    <mergeCell ref="A28:B28"/>
    <mergeCell ref="A3:B3"/>
    <mergeCell ref="A5:B5"/>
    <mergeCell ref="A7:B7"/>
    <mergeCell ref="A8:B8"/>
    <mergeCell ref="A10:B10"/>
    <mergeCell ref="A11:B11"/>
  </mergeCells>
  <pageMargins left="0.7" right="0.7" top="0.75" bottom="0.75" header="0.3" footer="0.3"/>
  <pageSetup paperSize="9" scale="68" orientation="portrait" r:id="rId1"/>
  <ignoredErrors>
    <ignoredError sqref="B26" unlockedFormula="1"/>
    <ignoredError sqref="B27" evalError="1"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Full1!$A$58:$A$60</xm:f>
          </x14:formula1>
          <xm:sqref>A8:B8</xm:sqref>
        </x14:dataValidation>
        <x14:dataValidation type="list" allowBlank="1" showInputMessage="1" showErrorMessage="1" xr:uid="{00000000-0002-0000-0200-000001000000}">
          <x14:formula1>
            <xm:f>Full1!$A$52:$A$55</xm:f>
          </x14:formula1>
          <xm:sqref>A11:B11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2"/>
  <sheetViews>
    <sheetView showGridLines="0" workbookViewId="0">
      <selection activeCell="A3" sqref="A3:B3"/>
    </sheetView>
  </sheetViews>
  <sheetFormatPr baseColWidth="10" defaultColWidth="8.85546875" defaultRowHeight="15" x14ac:dyDescent="0.25"/>
  <cols>
    <col min="1" max="1" width="90.7109375" style="17" customWidth="1" collapsed="1"/>
    <col min="2" max="2" width="36.7109375" style="17" customWidth="1" collapsed="1"/>
    <col min="3" max="3" width="10.42578125" style="71" hidden="1" customWidth="1" collapsed="1"/>
    <col min="4" max="4" width="18.28515625" style="35" customWidth="1" collapsed="1"/>
    <col min="5" max="5" width="20.7109375" style="17" customWidth="1" collapsed="1"/>
    <col min="6" max="6" width="20.140625" style="17" customWidth="1" collapsed="1"/>
    <col min="7" max="7" width="21" style="17" customWidth="1" collapsed="1"/>
    <col min="8" max="8" width="13.7109375" style="17" customWidth="1" collapsed="1"/>
    <col min="9" max="9" width="10.42578125" style="17" customWidth="1" collapsed="1"/>
    <col min="10" max="10" width="11.7109375" style="17" customWidth="1" collapsed="1"/>
    <col min="11" max="11" width="8.85546875" style="17" collapsed="1"/>
    <col min="12" max="12" width="8.85546875" style="17"/>
    <col min="13" max="16384" width="8.85546875" style="17" collapsed="1"/>
  </cols>
  <sheetData>
    <row r="2" spans="1:10" ht="51" customHeight="1" x14ac:dyDescent="0.25">
      <c r="A2" s="109"/>
      <c r="B2" s="109"/>
      <c r="G2" s="18"/>
      <c r="H2" s="18"/>
      <c r="I2" s="19"/>
      <c r="J2" s="19"/>
    </row>
    <row r="3" spans="1:10" ht="51" customHeight="1" x14ac:dyDescent="0.25">
      <c r="A3" s="126" t="s">
        <v>76</v>
      </c>
      <c r="B3" s="126"/>
      <c r="C3" s="78"/>
      <c r="D3" s="36"/>
      <c r="E3" s="20"/>
      <c r="F3" s="21"/>
      <c r="G3" s="22"/>
      <c r="H3" s="22"/>
      <c r="I3" s="23"/>
      <c r="J3" s="23"/>
    </row>
    <row r="4" spans="1:10" ht="21" x14ac:dyDescent="0.25">
      <c r="A4" s="61" t="s">
        <v>1</v>
      </c>
      <c r="B4" s="62"/>
      <c r="C4" s="79"/>
      <c r="D4" s="37"/>
      <c r="E4" s="24"/>
    </row>
    <row r="5" spans="1:10" ht="15" customHeight="1" thickBot="1" x14ac:dyDescent="0.3"/>
    <row r="6" spans="1:10" ht="17.25" customHeight="1" x14ac:dyDescent="0.25">
      <c r="A6" s="86" t="s">
        <v>77</v>
      </c>
      <c r="B6" s="87">
        <f>IF('1. Calculadora de AYUDA - RR345'!B63&lt;&gt;0,'2. Complemento VULNERABILIDAD'!C24+'1. Calculadora de AYUDA - RR345'!C55,0)</f>
        <v>0</v>
      </c>
    </row>
    <row r="7" spans="1:10" ht="17.25" customHeight="1" x14ac:dyDescent="0.25">
      <c r="A7" s="88" t="s">
        <v>78</v>
      </c>
      <c r="B7" s="89">
        <f>'2. Complemento VULNERABILIDAD'!C30</f>
        <v>0</v>
      </c>
    </row>
    <row r="8" spans="1:10" ht="17.25" customHeight="1" x14ac:dyDescent="0.25">
      <c r="A8" s="88" t="s">
        <v>79</v>
      </c>
      <c r="B8" s="89">
        <f>IF('3. Deducciones Fiscales'!C27=1,0,'3. Deducciones Fiscales'!B27)</f>
        <v>0</v>
      </c>
    </row>
    <row r="9" spans="1:10" ht="17.25" customHeight="1" thickBot="1" x14ac:dyDescent="0.3">
      <c r="A9" s="33" t="s">
        <v>80</v>
      </c>
      <c r="B9" s="74">
        <f>B6+B7+B8</f>
        <v>0</v>
      </c>
    </row>
    <row r="10" spans="1:10" ht="36" customHeight="1" x14ac:dyDescent="0.25">
      <c r="A10" s="128" t="s">
        <v>46</v>
      </c>
      <c r="B10" s="128"/>
      <c r="C10" s="35"/>
      <c r="D10" s="17"/>
    </row>
    <row r="12" spans="1:10" ht="18" x14ac:dyDescent="0.25">
      <c r="A12" s="34"/>
    </row>
  </sheetData>
  <sheetProtection algorithmName="SHA-512" hashValue="gI7mpwzFA4+3O4MriiGqQg0x2k5slvQKne8LDCDJR2WHJGUbrsrDZPXrxJx9LDoTozYwVg2wOEzdyDBd8bzyHQ==" saltValue="6Weo4gosjamBnOlMzX+g7A==" spinCount="100000" sheet="1" objects="1" scenarios="1" selectLockedCells="1"/>
  <mergeCells count="3">
    <mergeCell ref="A10:B10"/>
    <mergeCell ref="A3:B3"/>
    <mergeCell ref="A2:B2"/>
  </mergeCells>
  <pageMargins left="0.7" right="0.7" top="0.75" bottom="0.75" header="0.3" footer="0.3"/>
  <pageSetup paperSize="9" scale="68" orientation="portrait" verticalDpi="0" r:id="rId1"/>
  <ignoredErrors>
    <ignoredError sqref="B9"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6"/>
  <sheetViews>
    <sheetView workbookViewId="0">
      <selection activeCell="B65" sqref="B65"/>
    </sheetView>
  </sheetViews>
  <sheetFormatPr baseColWidth="10" defaultColWidth="9.140625" defaultRowHeight="15" x14ac:dyDescent="0.25"/>
  <cols>
    <col min="1" max="1" width="83" customWidth="1" collapsed="1"/>
    <col min="2" max="2" width="63" customWidth="1" collapsed="1"/>
    <col min="3" max="3" width="9.5703125" bestFit="1" customWidth="1"/>
  </cols>
  <sheetData>
    <row r="1" spans="1:1" x14ac:dyDescent="0.25">
      <c r="A1" s="2" t="s">
        <v>81</v>
      </c>
    </row>
    <row r="2" spans="1:1" x14ac:dyDescent="0.25">
      <c r="A2" s="3" t="s">
        <v>6</v>
      </c>
    </row>
    <row r="3" spans="1:1" x14ac:dyDescent="0.25">
      <c r="A3" s="3" t="s">
        <v>82</v>
      </c>
    </row>
    <row r="4" spans="1:1" ht="15.75" thickBot="1" x14ac:dyDescent="0.3">
      <c r="A4" s="4" t="s">
        <v>83</v>
      </c>
    </row>
    <row r="5" spans="1:1" ht="15.75" thickBot="1" x14ac:dyDescent="0.3"/>
    <row r="6" spans="1:1" x14ac:dyDescent="0.25">
      <c r="A6" s="2" t="s">
        <v>84</v>
      </c>
    </row>
    <row r="7" spans="1:1" x14ac:dyDescent="0.25">
      <c r="A7" s="3" t="s">
        <v>6</v>
      </c>
    </row>
    <row r="8" spans="1:1" x14ac:dyDescent="0.25">
      <c r="A8" s="6" t="s">
        <v>85</v>
      </c>
    </row>
    <row r="9" spans="1:1" x14ac:dyDescent="0.25">
      <c r="A9" s="6" t="s">
        <v>86</v>
      </c>
    </row>
    <row r="10" spans="1:1" x14ac:dyDescent="0.25">
      <c r="A10" s="6" t="s">
        <v>87</v>
      </c>
    </row>
    <row r="11" spans="1:1" ht="15.75" thickBot="1" x14ac:dyDescent="0.3">
      <c r="A11" s="5" t="s">
        <v>88</v>
      </c>
    </row>
    <row r="12" spans="1:1" ht="15.75" thickBot="1" x14ac:dyDescent="0.3"/>
    <row r="13" spans="1:1" x14ac:dyDescent="0.25">
      <c r="A13" s="9" t="s">
        <v>5</v>
      </c>
    </row>
    <row r="14" spans="1:1" x14ac:dyDescent="0.25">
      <c r="A14" s="3" t="s">
        <v>6</v>
      </c>
    </row>
    <row r="15" spans="1:1" x14ac:dyDescent="0.25">
      <c r="A15" s="3" t="s">
        <v>89</v>
      </c>
    </row>
    <row r="16" spans="1:1" x14ac:dyDescent="0.25">
      <c r="A16" s="3" t="s">
        <v>90</v>
      </c>
    </row>
    <row r="17" spans="1:1" x14ac:dyDescent="0.25">
      <c r="A17" s="3" t="s">
        <v>91</v>
      </c>
    </row>
    <row r="18" spans="1:1" x14ac:dyDescent="0.25">
      <c r="A18" s="3" t="s">
        <v>92</v>
      </c>
    </row>
    <row r="19" spans="1:1" x14ac:dyDescent="0.25">
      <c r="A19" s="3" t="s">
        <v>93</v>
      </c>
    </row>
    <row r="20" spans="1:1" x14ac:dyDescent="0.25">
      <c r="A20" s="3" t="s">
        <v>94</v>
      </c>
    </row>
    <row r="21" spans="1:1" x14ac:dyDescent="0.25">
      <c r="A21" s="3" t="s">
        <v>95</v>
      </c>
    </row>
    <row r="22" spans="1:1" x14ac:dyDescent="0.25">
      <c r="A22" s="3" t="s">
        <v>96</v>
      </c>
    </row>
    <row r="23" spans="1:1" x14ac:dyDescent="0.25">
      <c r="A23" s="3" t="s">
        <v>97</v>
      </c>
    </row>
    <row r="24" spans="1:1" x14ac:dyDescent="0.25">
      <c r="A24" s="90" t="s">
        <v>116</v>
      </c>
    </row>
    <row r="25" spans="1:1" ht="15.75" thickBot="1" x14ac:dyDescent="0.3">
      <c r="A25" s="91" t="s">
        <v>117</v>
      </c>
    </row>
    <row r="26" spans="1:1" ht="15.75" thickBot="1" x14ac:dyDescent="0.3"/>
    <row r="27" spans="1:1" x14ac:dyDescent="0.25">
      <c r="A27" s="9" t="s">
        <v>98</v>
      </c>
    </row>
    <row r="28" spans="1:1" x14ac:dyDescent="0.25">
      <c r="A28" s="3" t="s">
        <v>6</v>
      </c>
    </row>
    <row r="29" spans="1:1" x14ac:dyDescent="0.25">
      <c r="A29" s="7" t="s">
        <v>4</v>
      </c>
    </row>
    <row r="30" spans="1:1" x14ac:dyDescent="0.25">
      <c r="A30" s="7" t="s">
        <v>99</v>
      </c>
    </row>
    <row r="31" spans="1:1" x14ac:dyDescent="0.25">
      <c r="A31" s="7" t="s">
        <v>100</v>
      </c>
    </row>
    <row r="32" spans="1:1" x14ac:dyDescent="0.25">
      <c r="A32" s="7" t="s">
        <v>101</v>
      </c>
    </row>
    <row r="33" spans="1:2" x14ac:dyDescent="0.25">
      <c r="A33" s="7" t="s">
        <v>102</v>
      </c>
    </row>
    <row r="34" spans="1:2" ht="15.75" thickBot="1" x14ac:dyDescent="0.3">
      <c r="A34" s="8" t="s">
        <v>103</v>
      </c>
    </row>
    <row r="35" spans="1:2" ht="15.75" thickBot="1" x14ac:dyDescent="0.3"/>
    <row r="36" spans="1:2" x14ac:dyDescent="0.25">
      <c r="A36" s="9" t="s">
        <v>48</v>
      </c>
    </row>
    <row r="37" spans="1:2" x14ac:dyDescent="0.25">
      <c r="A37" s="3" t="s">
        <v>6</v>
      </c>
    </row>
    <row r="38" spans="1:2" x14ac:dyDescent="0.25">
      <c r="A38" s="7" t="s">
        <v>104</v>
      </c>
    </row>
    <row r="39" spans="1:2" ht="15.75" thickBot="1" x14ac:dyDescent="0.3">
      <c r="A39" s="8" t="s">
        <v>105</v>
      </c>
    </row>
    <row r="40" spans="1:2" ht="15.75" thickBot="1" x14ac:dyDescent="0.3"/>
    <row r="41" spans="1:2" x14ac:dyDescent="0.25">
      <c r="A41" s="63" t="s">
        <v>106</v>
      </c>
      <c r="B41" s="64" t="s">
        <v>107</v>
      </c>
    </row>
    <row r="42" spans="1:2" x14ac:dyDescent="0.25">
      <c r="A42" s="65">
        <v>1</v>
      </c>
      <c r="B42" s="66">
        <v>1</v>
      </c>
    </row>
    <row r="43" spans="1:2" x14ac:dyDescent="0.25">
      <c r="A43" s="67">
        <v>2</v>
      </c>
      <c r="B43" s="66">
        <v>0.9</v>
      </c>
    </row>
    <row r="44" spans="1:2" x14ac:dyDescent="0.25">
      <c r="A44" s="67">
        <v>3</v>
      </c>
      <c r="B44" s="66">
        <v>0.8</v>
      </c>
    </row>
    <row r="45" spans="1:2" x14ac:dyDescent="0.25">
      <c r="A45" s="67">
        <v>4</v>
      </c>
      <c r="B45" s="66">
        <v>0.75</v>
      </c>
    </row>
    <row r="46" spans="1:2" ht="15.75" thickBot="1" x14ac:dyDescent="0.3">
      <c r="A46" s="68" t="s">
        <v>108</v>
      </c>
      <c r="B46" s="69">
        <v>0.7</v>
      </c>
    </row>
    <row r="47" spans="1:2" x14ac:dyDescent="0.25">
      <c r="A47" s="93" t="s">
        <v>119</v>
      </c>
      <c r="B47" s="66">
        <v>0.8</v>
      </c>
    </row>
    <row r="48" spans="1:2" x14ac:dyDescent="0.25">
      <c r="A48" s="93" t="s">
        <v>120</v>
      </c>
      <c r="B48" s="66">
        <v>0.75</v>
      </c>
    </row>
    <row r="49" spans="1:2" ht="30.75" thickBot="1" x14ac:dyDescent="0.3">
      <c r="A49" s="94" t="s">
        <v>121</v>
      </c>
      <c r="B49" s="69">
        <v>0.7</v>
      </c>
    </row>
    <row r="50" spans="1:2" ht="15.75" thickBot="1" x14ac:dyDescent="0.3"/>
    <row r="51" spans="1:2" x14ac:dyDescent="0.25">
      <c r="A51" s="9" t="s">
        <v>109</v>
      </c>
    </row>
    <row r="52" spans="1:2" x14ac:dyDescent="0.25">
      <c r="A52" s="3" t="s">
        <v>6</v>
      </c>
    </row>
    <row r="53" spans="1:2" x14ac:dyDescent="0.25">
      <c r="A53" s="3" t="s">
        <v>110</v>
      </c>
    </row>
    <row r="54" spans="1:2" x14ac:dyDescent="0.25">
      <c r="A54" s="3" t="s">
        <v>111</v>
      </c>
    </row>
    <row r="55" spans="1:2" ht="15.75" thickBot="1" x14ac:dyDescent="0.3">
      <c r="A55" s="4" t="s">
        <v>112</v>
      </c>
    </row>
    <row r="56" spans="1:2" ht="15.75" thickBot="1" x14ac:dyDescent="0.3"/>
    <row r="57" spans="1:2" x14ac:dyDescent="0.25">
      <c r="A57" s="9" t="s">
        <v>113</v>
      </c>
    </row>
    <row r="58" spans="1:2" x14ac:dyDescent="0.25">
      <c r="A58" s="3" t="s">
        <v>6</v>
      </c>
    </row>
    <row r="59" spans="1:2" x14ac:dyDescent="0.25">
      <c r="A59" s="7" t="s">
        <v>114</v>
      </c>
    </row>
    <row r="60" spans="1:2" ht="15.75" thickBot="1" x14ac:dyDescent="0.3">
      <c r="A60" s="8" t="s">
        <v>115</v>
      </c>
    </row>
    <row r="61" spans="1:2" ht="15.75" thickBot="1" x14ac:dyDescent="0.3">
      <c r="A61" s="81"/>
    </row>
    <row r="62" spans="1:2" x14ac:dyDescent="0.25">
      <c r="A62" s="95" t="s">
        <v>123</v>
      </c>
    </row>
    <row r="63" spans="1:2" x14ac:dyDescent="0.25">
      <c r="A63" s="96">
        <v>2020</v>
      </c>
    </row>
    <row r="64" spans="1:2" x14ac:dyDescent="0.25">
      <c r="A64" s="97">
        <v>2021</v>
      </c>
    </row>
    <row r="65" spans="1:1" x14ac:dyDescent="0.25">
      <c r="A65" s="97">
        <v>2022</v>
      </c>
    </row>
    <row r="66" spans="1:1" ht="15.75" thickBot="1" x14ac:dyDescent="0.3">
      <c r="A66" s="98">
        <v>2023</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80B374413AB84AB780A6F11C807D4E" ma:contentTypeVersion="17" ma:contentTypeDescription="Crear nuevo documento." ma:contentTypeScope="" ma:versionID="730642d3bdd1e88d95339185c4f9b1a6">
  <xsd:schema xmlns:xsd="http://www.w3.org/2001/XMLSchema" xmlns:xs="http://www.w3.org/2001/XMLSchema" xmlns:p="http://schemas.microsoft.com/office/2006/metadata/properties" xmlns:ns2="98d60e7c-bca7-40fe-94fd-8ce57f0b4d00" xmlns:ns3="05b120b6-395e-42ed-861a-8a4f5f8638c4" targetNamespace="http://schemas.microsoft.com/office/2006/metadata/properties" ma:root="true" ma:fieldsID="b99b472d7a4104a50abbed45e8579d5f" ns2:_="" ns3:_="">
    <xsd:import namespace="98d60e7c-bca7-40fe-94fd-8ce57f0b4d00"/>
    <xsd:import namespace="05b120b6-395e-42ed-861a-8a4f5f8638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hipervincul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d60e7c-bca7-40fe-94fd-8ce57f0b4d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6b1f72f-9c07-4021-8abb-002c1b253569" ma:termSetId="09814cd3-568e-fe90-9814-8d621ff8fb84" ma:anchorId="fba54fb3-c3e1-fe81-a776-ca4b69148c4d" ma:open="true" ma:isKeyword="false">
      <xsd:complexType>
        <xsd:sequence>
          <xsd:element ref="pc:Terms" minOccurs="0" maxOccurs="1"/>
        </xsd:sequence>
      </xsd:complexType>
    </xsd:element>
    <xsd:element name="hipervinculo" ma:index="24" nillable="true" ma:displayName="hipervinculo" ma:format="Hyperlink" ma:internalName="hipervinculo">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5b120b6-395e-42ed-861a-8a4f5f8638c4"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b8df35e2-ee69-4a51-adb5-affcaa612d05}" ma:internalName="TaxCatchAll" ma:showField="CatchAllData" ma:web="05b120b6-395e-42ed-861a-8a4f5f8638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595BD1-E058-4A03-9760-84D91C573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d60e7c-bca7-40fe-94fd-8ce57f0b4d00"/>
    <ds:schemaRef ds:uri="05b120b6-395e-42ed-861a-8a4f5f863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D4877D-88EE-4A99-AFFB-B1AE3BD9A8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 Calculadora de AYUDA - RR345</vt:lpstr>
      <vt:lpstr>2. Complemento VULNERABILIDAD</vt:lpstr>
      <vt:lpstr>3. Deducciones Fiscales</vt:lpstr>
      <vt:lpstr>4. Resumen AYUDAS RR345</vt:lpstr>
      <vt:lpstr>Full1</vt:lpstr>
      <vt:lpstr>'1. Calculadora de AYUDA - RR345'!Área_de_impresión</vt:lpstr>
      <vt:lpstr>'3. Deducciones Fiscales'!Área_de_impresión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2024-03-01T10:59:00Z</dcterms:modified>
  <cp:category/>
  <cp:contentStatus/>
</cp:coreProperties>
</file>