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aBUOTicRGYsH2GK99ninhzyvIQ43aQJmqzw121jJXM6b4txWcTeYFViRScbB7clGRi1tpxdsMkEJBg5hv4SF3Q==" workbookSaltValue="6crPBkRVC5WyOJ72/7HPbA==" workbookSpinCount="100000" lockStructure="1"/>
  <bookViews>
    <workbookView xWindow="0" yWindow="0" windowWidth="22980" windowHeight="8520"/>
  </bookViews>
  <sheets>
    <sheet name="1. Calculadora de AYUDA - RR345" sheetId="3" r:id="rId1"/>
    <sheet name="2. Complemento VULNERABILIDAD" sheetId="4" r:id="rId2"/>
    <sheet name="3. Deducciones Fiscales" sheetId="5" r:id="rId3"/>
    <sheet name="4. Resumen AYUDAS RR345" sheetId="6" r:id="rId4"/>
    <sheet name="Full1" sheetId="2" state="hidden" r:id="rId5"/>
  </sheets>
  <definedNames>
    <definedName name="_xlnm.Print_Area" localSheetId="0">'1. Calculadora de AYUDA - RR345'!$A$1:$B$63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4" l="1"/>
  <c r="C8" i="5" l="1"/>
  <c r="C11" i="5" l="1"/>
  <c r="B16" i="5" l="1"/>
  <c r="B15" i="5"/>
  <c r="B17" i="5"/>
  <c r="B14" i="5"/>
  <c r="B19" i="5"/>
  <c r="B18" i="5"/>
  <c r="B26" i="5"/>
  <c r="B21" i="4" l="1"/>
  <c r="C21" i="4" s="1"/>
  <c r="C11" i="4" l="1"/>
  <c r="B15" i="4"/>
  <c r="B25" i="4" s="1"/>
  <c r="C25" i="4" s="1"/>
  <c r="B26" i="4" l="1"/>
  <c r="C19" i="3"/>
  <c r="B20" i="3"/>
  <c r="A23" i="3" l="1"/>
  <c r="A22" i="3"/>
  <c r="A20" i="3"/>
  <c r="A21" i="3"/>
  <c r="C34" i="3"/>
  <c r="C33" i="3"/>
  <c r="B35" i="3" l="1"/>
  <c r="C22" i="3"/>
  <c r="C23" i="3"/>
  <c r="C21" i="3"/>
  <c r="C20" i="3" l="1"/>
  <c r="B58" i="3" l="1"/>
  <c r="B60" i="3" s="1"/>
  <c r="C8" i="3" l="1"/>
  <c r="B37" i="3" l="1"/>
  <c r="B39" i="3" s="1"/>
  <c r="C11" i="3"/>
  <c r="B52" i="3"/>
  <c r="C27" i="3"/>
  <c r="B25" i="3" s="1"/>
  <c r="B62" i="3" l="1"/>
  <c r="B61" i="3"/>
  <c r="B42" i="3"/>
  <c r="B53" i="3"/>
  <c r="B36" i="3"/>
  <c r="B38" i="3" s="1"/>
  <c r="B40" i="3" s="1"/>
  <c r="C45" i="3"/>
  <c r="B56" i="3"/>
  <c r="B49" i="3"/>
  <c r="C51" i="3" s="1"/>
  <c r="B30" i="3"/>
  <c r="C37" i="3" s="1"/>
  <c r="B54" i="3"/>
  <c r="B46" i="3"/>
  <c r="B48" i="3" s="1"/>
  <c r="B55" i="3" l="1"/>
  <c r="B21" i="5" s="1"/>
  <c r="B41" i="3"/>
  <c r="B23" i="4" l="1"/>
  <c r="B63" i="3"/>
  <c r="B6" i="6" l="1"/>
  <c r="C63" i="3"/>
  <c r="B28" i="4"/>
  <c r="B27" i="4"/>
  <c r="B20" i="4"/>
  <c r="B29" i="4" l="1"/>
  <c r="B23" i="5" s="1"/>
  <c r="C29" i="4" l="1"/>
  <c r="B22" i="5" s="1"/>
  <c r="B24" i="5" s="1"/>
  <c r="B7" i="6" l="1"/>
  <c r="B25" i="5"/>
  <c r="B27" i="5" s="1"/>
  <c r="C27" i="5" s="1"/>
  <c r="B8" i="6" s="1"/>
  <c r="B9" i="6" s="1"/>
</calcChain>
</file>

<file path=xl/comments1.xml><?xml version="1.0" encoding="utf-8"?>
<comments xmlns="http://schemas.openxmlformats.org/spreadsheetml/2006/main">
  <authors>
    <author>Autor</author>
  </authors>
  <commentList>
    <comment ref="A14" authorId="0" shapeId="0">
      <text>
        <r>
          <rPr>
            <b/>
            <sz val="9"/>
            <color indexed="81"/>
            <rFont val="Tahoma"/>
            <family val="2"/>
          </rPr>
          <t>Año de finalización:</t>
        </r>
        <r>
          <rPr>
            <sz val="9"/>
            <color indexed="81"/>
            <rFont val="Tahoma"/>
            <family val="2"/>
          </rPr>
          <t xml:space="preserve"> El Programa 5 solo será de apliación en inmuebles con fecha de finalización anterior al año 2000.
</t>
        </r>
      </text>
    </comment>
    <comment ref="A29" authorId="0" shapeId="0">
      <text>
        <r>
          <rPr>
            <b/>
            <sz val="9"/>
            <color indexed="81"/>
            <rFont val="Tahoma"/>
            <family val="2"/>
          </rPr>
          <t xml:space="preserve">Datos económicos: </t>
        </r>
        <r>
          <rPr>
            <sz val="9"/>
            <color indexed="81"/>
            <rFont val="Tahoma"/>
            <family val="2"/>
          </rPr>
          <t>Cumplimentar únicamente los programas incluídos en el tipo de actuación solicitada.</t>
        </r>
      </text>
    </comment>
    <comment ref="A32" authorId="0" shapeId="0">
      <text>
        <r>
          <rPr>
            <b/>
            <sz val="9"/>
            <color indexed="81"/>
            <rFont val="Tahoma"/>
            <family val="2"/>
          </rPr>
          <t xml:space="preserve">Costes subvencionables: </t>
        </r>
        <r>
          <rPr>
            <sz val="9"/>
            <color indexed="81"/>
            <rFont val="Tahoma"/>
            <family val="2"/>
          </rPr>
          <t xml:space="preserve">los costes de gestión inherentes al desarrollo de las actuaciones y los gastos asociados, los honorarios de los profesionales intervinientes en la gestión y desarrollo de las actuaciones, el coste de la redacción de los proyectos, informes técnicos y certificados necesarios, los gastos derivados de la tramitación administrativa, y otros gastos generales similares, siempre que todos ellos estén debidamente justificados con el límite que corresponda según lo previsto en este artículo. No se consideran costes subvencionables los correspondientes a licencias, tasas, impuestos o tributos. No obstante, el IVA o el impuesto indirecto equivalente, podrán ser considerados elegibles siempre y cuando no puedan ser susceptibles de recuperación o compensación total o parcial.
</t>
        </r>
      </text>
    </comment>
    <comment ref="A33" authorId="0" shapeId="0">
      <text>
        <r>
          <rPr>
            <b/>
            <sz val="9"/>
            <color indexed="81"/>
            <rFont val="Tahoma"/>
            <family val="2"/>
          </rPr>
          <t xml:space="preserve">Amianto: </t>
        </r>
        <r>
          <rPr>
            <sz val="9"/>
            <color indexed="81"/>
            <rFont val="Tahoma"/>
            <family val="2"/>
          </rPr>
          <t xml:space="preserve">La retirada deberá realizarse conforme a lo establecido en el Real Decreto 396/2006, de 31 de marzo, por el que se establecen las disposiciones mínimas de seguridad y salud aplicables a los trabajos con riesgo de exposición al amianto, por una empresa legalmente autorizada. La gestión de los residuos originados en el proceso deberá realizarse conforme a lo establecido en el Real Decreto 105/2008, de 1 de febrero, por el que se regula la producción y gestión de los residuos de construcción y demolición.
</t>
        </r>
      </text>
    </comment>
    <comment ref="A35" authorId="0" shapeId="0">
      <text>
        <r>
          <rPr>
            <b/>
            <sz val="9"/>
            <color indexed="81"/>
            <rFont val="Tahoma"/>
            <family val="2"/>
          </rPr>
          <t xml:space="preserve">Incremento ayuda retirada AMIANTO: </t>
        </r>
        <r>
          <rPr>
            <sz val="9"/>
            <color indexed="81"/>
            <rFont val="Tahoma"/>
            <family val="2"/>
          </rPr>
          <t>En aquellos casos en los que haya que proceder a la retirada de elementos con amianto, podrá incrementarse la cuantía máxima de la ayuda en la cantidad correspondiente a los costes debidos a la retirada, la manipulación, el transporte y la gestión de los residuos de amianto mediante empresas autorizadas, hasta un máximo de 1.000 euros por vivienda o 12.000 euros por edificio objeto de rehabilitación.</t>
        </r>
      </text>
    </comment>
    <comment ref="A36" authorId="0" shapeId="0">
      <text>
        <r>
          <rPr>
            <b/>
            <sz val="9"/>
            <color indexed="81"/>
            <rFont val="Tahoma"/>
            <family val="2"/>
          </rPr>
          <t xml:space="preserve">Costes subvencionables: </t>
        </r>
        <r>
          <rPr>
            <sz val="9"/>
            <color indexed="81"/>
            <rFont val="Tahoma"/>
            <family val="2"/>
          </rPr>
          <t>Cuando el proyecto haya recibido subvención con cargo al programa 5, para la redacción de proyectos de rehabilitación, se descontará la cantidad recibida de la cuantía de la subvención con cargo a este programa. La determinación de la cuantía máxima de la ayuda con cargo a este programa se determinará incluyendo el coste del proyecto en la inversión subvencionable y descontando de dicha cuantía máxima, la ayuda que hubiese sido concedida dentro del programa 5 para la redacción del proyecto.</t>
        </r>
        <r>
          <rPr>
            <sz val="9"/>
            <color indexed="81"/>
            <rFont val="Tahoma"/>
            <family val="2"/>
          </rPr>
          <t xml:space="preserve">
</t>
        </r>
      </text>
    </comment>
    <comment ref="A44" authorId="0" shapeId="0">
      <text>
        <r>
          <rPr>
            <b/>
            <sz val="9"/>
            <color indexed="81"/>
            <rFont val="Tahoma"/>
            <family val="2"/>
          </rPr>
          <t xml:space="preserve">Costes subvencionables: </t>
        </r>
        <r>
          <rPr>
            <sz val="9"/>
            <color indexed="81"/>
            <rFont val="Tahoma"/>
            <family val="2"/>
          </rPr>
          <t>En el importe objeto de subvención podrán incluirse los honorarios de los profesionales intervinientes, el coste de la redacción de los proyectos, informes técnicos y certificados necesarios, los gastos derivados de la tramitación administrativa, y otros gastos generales similares, siempre que todos ellos estén debidamente justificados. No se consideran costes subvencionables los correspondientes a licencias, tasas, impuestos o tributos. No obstante, el IVA o el impuesto indirecto equivalente, podrán ser considerados elegibles siempre y cuando no puedan ser susceptibles de recuperación o compensación total o parcial.
El coste mínimo de la actuación ha de ser igual o superior a 1.000 euros por vivienda.</t>
        </r>
      </text>
    </comment>
    <comment ref="A56" authorId="0" shapeId="0">
      <text>
        <r>
          <rPr>
            <sz val="9"/>
            <color indexed="81"/>
            <rFont val="Tahoma"/>
            <family val="2"/>
          </rPr>
          <t>En caso de solicitar el PROGRAMA 3, se recomienda imputar el coste del proyecto en la casilla de "Coste de la actuación subvencionable" (B32)</t>
        </r>
      </text>
    </comment>
  </commentList>
</comments>
</file>

<file path=xl/sharedStrings.xml><?xml version="1.0" encoding="utf-8"?>
<sst xmlns="http://schemas.openxmlformats.org/spreadsheetml/2006/main" count="170" uniqueCount="123">
  <si>
    <t>Sí</t>
  </si>
  <si>
    <t>No</t>
  </si>
  <si>
    <t>Tipo 1</t>
  </si>
  <si>
    <t>Tipo 2.1+2.2-2.3 altres usos+2.4</t>
  </si>
  <si>
    <t>AFIRMATIVO/NEGATIVO</t>
  </si>
  <si>
    <t>TIPO DE ACTUACIÓN</t>
  </si>
  <si>
    <t>TIPO DE DESTINATARIO</t>
  </si>
  <si>
    <t>TIPO DE SOLICITANTE</t>
  </si>
  <si>
    <t>1. Propietario o usufructuario (persona física o jurídica) de vivienda unifamiliar aislada o agrupada en fila o edificios de tipología residencial
colectiva (Programas 3, 4, 5).</t>
  </si>
  <si>
    <t>2. Arrendatario de vivienda (Programa 4).</t>
  </si>
  <si>
    <t>3. Comunidad de Propietarios o Agrupación de Comunidades de Propietarios (artículo 5 de Ley 49/1960) (Programas 3, 5).</t>
  </si>
  <si>
    <t>4. Propietarios Agrupados (artículo 396 Código Civil). (Programas 3, 5).</t>
  </si>
  <si>
    <t>5. Empresa explotadora, arrendataria o concesionaria de edificio (Programa 3).</t>
  </si>
  <si>
    <t>6. Sociedades cooperativas (artículo 396 Código Civil). (Programas 3, 5).</t>
  </si>
  <si>
    <t>Programa 3 (P3). Programa de ayuda a las actuaciones de rehabilitación a nivel de edificios.</t>
  </si>
  <si>
    <t>Programa 4 (P4). Programa de ayuda a las actuaciones de mejora de la eficiencia en viviendas.</t>
  </si>
  <si>
    <t>Programa 5.1 (P5.1). Programa de Elaboración del Libro del Edificio Existente para la rehabilitación.</t>
  </si>
  <si>
    <t>Programa 5.2 (P5.2). Programa de Redacción de Proyecto Técnico de Rehabilitación Integral de edificio.</t>
  </si>
  <si>
    <t>Programa 4 (P4) + Programa 5.1 (P5.1). Programa de ayuda a las actuaciones de mejora de la eficiencia en viviendas y Programa de elaboración del Libro del Edificio Existente para la rehabilitación.</t>
  </si>
  <si>
    <t>Programa 3 (P3) + Programa 5.1 (P5.1). Programa de ayuda a las actuaciones de rehabilitación a nivel de edificios y Programa de elaboración del Libro del Edificio Existente para la rehabilitación.</t>
  </si>
  <si>
    <t>Programa 3 (P3) + Programa 5.2 (P5.2). Programa de ayuda a las actuaciones de rehabilitación a nivel de edificios y Programa de Redacción de Proyecto Técnico de Rehabilitación Integral de edificio.</t>
  </si>
  <si>
    <t>Programa 5 (P5.1 + P5.2). Programa de ayuda a la elaboración del libro del edificio existente y la redacción de proyecto de rehabilitación.</t>
  </si>
  <si>
    <t>Programa 3 (P3) + Programa 5 (P5.1 + P5.2). Programa de ayuda a las actuaciones de rehabilitación a nivel de edificios y Programa de ayuda a la elaboración del libro del edificio existente y la redacción de proyecto de rehabilitación.</t>
  </si>
  <si>
    <t>Elegir</t>
  </si>
  <si>
    <t>P4</t>
  </si>
  <si>
    <t>≥</t>
  </si>
  <si>
    <t>TIPO DE PROGRAMA / ZONA CLIMÁTICA</t>
  </si>
  <si>
    <t>P3 - Zona Climática C</t>
  </si>
  <si>
    <t>P3 - Zona Climática D</t>
  </si>
  <si>
    <t>P3 - Zona Climática E</t>
  </si>
  <si>
    <t>TIPO DE PROGRAMA - ZONA CLIMÁTICA</t>
  </si>
  <si>
    <t>CARACTERÍSTICAS ENERGÉTICAS DE LA ACTUACIÓN</t>
  </si>
  <si>
    <t>CARACTERÍSTICAS FÍSICAS DEL INMUEBLE</t>
  </si>
  <si>
    <t>Número de viviendas</t>
  </si>
  <si>
    <t>Superficie locales (m²)</t>
  </si>
  <si>
    <t>% REDUCCIÓN VALORES ENERGÉTICOS</t>
  </si>
  <si>
    <t>Indicar el % reducción en los siguientes valores energéticos:</t>
  </si>
  <si>
    <t>1. Reducción consumo energía primaria no renovable</t>
  </si>
  <si>
    <t>2. Reducción demanda energética anual global calefacción-refrigeración</t>
  </si>
  <si>
    <t>Coste de la actuación subvencionable</t>
  </si>
  <si>
    <t>Porcentaje máximo de la subvención</t>
  </si>
  <si>
    <t>Cuantía máxima de la ayuda</t>
  </si>
  <si>
    <t>Cuantía de la ayuda según porcentaje máximo de subvención</t>
  </si>
  <si>
    <t>Cuantía de ayuda concedida con cargo al PROGRAMA 3</t>
  </si>
  <si>
    <t>CALCULADORA DE AYUDAS PROGRAMA RR345</t>
  </si>
  <si>
    <t>NOTA: CUMPLIMENTAR ÚNICAMENTE LAS CELDAS CON FONDO VERDE</t>
  </si>
  <si>
    <t>CARACTERÍSTICAS ECONÓMICAS DE LA ACTUACIÓN</t>
  </si>
  <si>
    <t>Inversión total</t>
  </si>
  <si>
    <t>Año finalización inmueble</t>
  </si>
  <si>
    <t>¿Se complementa el LIBRO DE EDIFICIO EXISTENTE con IEE o ITE?</t>
  </si>
  <si>
    <t>PROGRAMA 3. Programa de ayuda a las actuaciones de rehabilitación a nivel de edificios.</t>
  </si>
  <si>
    <t>PROGRAMA 4. Programa de ayuda a las actuaciones de mejora de la eficiencia en viviendas.</t>
  </si>
  <si>
    <t>PROGRAMA 5.1. Programa de Elaboración del Libro del Edificio Existente para la rehabilitación.</t>
  </si>
  <si>
    <t>PROGRAMA 5.2. Programa de Redacción de Proyecto Técnico de Rehabilitación Integral de edificio.</t>
  </si>
  <si>
    <t>Cuantía de ayuda concedida con cargo al PROGRAMA 4</t>
  </si>
  <si>
    <t>Cuantía de ayuda concedida con cargo al PROGRAMA 5.1</t>
  </si>
  <si>
    <t>Cuantía de ayuda concedida con cargo al PROGRAMA 5.2</t>
  </si>
  <si>
    <t>Cuantía de ayuda concedida TOTAL</t>
  </si>
  <si>
    <t>Coste de la actuación subvencionable TOTAL</t>
  </si>
  <si>
    <t>Inversión TOTAL</t>
  </si>
  <si>
    <t>Cuantía de la ayuda máxima según número de viviendas</t>
  </si>
  <si>
    <t>Cuantía de la ayuda máxima teniendo en cuenta la inclusión de IEE o ITE</t>
  </si>
  <si>
    <t>Cuantía máxima posible de la ayuda para el PROGRAMA 5.1</t>
  </si>
  <si>
    <t>Coste de honorarios del PROYECTO TÉCNICO DE REHABILITACIÓN INTEGRAL DEL EDIFICIO</t>
  </si>
  <si>
    <t>Cuantía máxima de la ayuda para el PROGRAMA 5.2</t>
  </si>
  <si>
    <t>Coste de honorarios del LIBRO DE EDIFICIO EXISTENTE (teniendo en cuenta redacción de IEE o ITE)</t>
  </si>
  <si>
    <t>Cuantía máxima de la ayuda en caso de solicitud ayuda redaccíón proyecto rehabilitación (P5.2)</t>
  </si>
  <si>
    <t>Coste de la actuación subvencionable + coste redacción proyecto rehabilitación (P5.2)</t>
  </si>
  <si>
    <t>Se retira del edificio o ámbito de actuación aquellos productos de construcción que contengan AMIANTO</t>
  </si>
  <si>
    <t>Incremento de la cuantía máxima de la ayuda para la retirada de AMIANTO</t>
  </si>
  <si>
    <t>Coste de retirada, manipulación, transporte y gestión de residuos de AMIANTO mediante empresas autorizadas</t>
  </si>
  <si>
    <t>Cuantía máxima de la ayuda según número de viviendas</t>
  </si>
  <si>
    <t>EXPEDIENTE Nº:</t>
  </si>
  <si>
    <t>COMPLEMENTO VULNERABILIDAD  PROGRAMA RR345</t>
  </si>
  <si>
    <t>Renta de la unidad familiar *1</t>
  </si>
  <si>
    <t>CARACTERÍSTICAS DE LA ACTUACIÓN</t>
  </si>
  <si>
    <t>TIPO DE INMUEBLE</t>
  </si>
  <si>
    <t>Valoración rentas según IPREM-14 (2022)</t>
  </si>
  <si>
    <t>Porcentaje adicional de ayuda por criterio de vulnerabilidad</t>
  </si>
  <si>
    <t>Cuantía de ayuda adicional por criterio de vulnerabilidad</t>
  </si>
  <si>
    <t>1. Vivienda en edificio plurifamiliar</t>
  </si>
  <si>
    <t>5 o más</t>
  </si>
  <si>
    <t>Coeficiente corrector</t>
  </si>
  <si>
    <t>MIEMBROS UNIDAD DE CONVIVENCIA</t>
  </si>
  <si>
    <t>Coeficiente multiplicador ingresos según nº miembros</t>
  </si>
  <si>
    <t>2. Vivienda unifamiliar</t>
  </si>
  <si>
    <t>Porcentaje de reducción consumo energía primaria no renovable (Δcep,nren&gt;30%)</t>
  </si>
  <si>
    <t>Importe máximo de ayuda</t>
  </si>
  <si>
    <t>Coste de la actuación subvencionable (P3 + P5.2 por vivienda)</t>
  </si>
  <si>
    <t>Cuantía de ayuda concedida  (P3 + P5.2 por vivienda)</t>
  </si>
  <si>
    <t>NOTA: Datos obtenidos de la pestaña "1. Calculadora de AYUDA - RR345"</t>
  </si>
  <si>
    <r>
      <t xml:space="preserve">Reducción de la demanda combinada calefacción + refrigeración </t>
    </r>
    <r>
      <rPr>
        <sz val="11"/>
        <color theme="1"/>
        <rFont val="Calibri"/>
        <family val="2"/>
      </rPr>
      <t>≥ 7,00%</t>
    </r>
  </si>
  <si>
    <t>Reducción del consumo de energía primaria no renovable  ≥ 30,00%</t>
  </si>
  <si>
    <t>Mejora calificación energética del inmueble obtieniendo clase A o B</t>
  </si>
  <si>
    <t>TIPO DE ACTUACIÓN DESGRAVACIÓN FISCAL</t>
  </si>
  <si>
    <t>TIPO DE INMUEBLE DESGRAVACIÓN FISCAL</t>
  </si>
  <si>
    <t>1. Vivienda habitual, alquilada o en espectativa de alquiler</t>
  </si>
  <si>
    <t>Ayuda adicional por vulnerabilidad</t>
  </si>
  <si>
    <r>
      <rPr>
        <b/>
        <sz val="11"/>
        <color rgb="FFFF0000"/>
        <rFont val="Calibri"/>
        <family val="2"/>
        <scheme val="minor"/>
      </rPr>
      <t>IMPORTANTE</t>
    </r>
    <r>
      <rPr>
        <sz val="11"/>
        <color rgb="FFFF0000"/>
        <rFont val="Calibri"/>
        <family val="2"/>
        <scheme val="minor"/>
      </rPr>
      <t>: Los datos obtenidos con el uso de estas herramientas tienen carácter meramente informativo, sin que en ningún caso pueda derivarse efecto jurídico vinculante alguno con esta Administración.</t>
    </r>
  </si>
  <si>
    <t>INFORMACIÓN DE LA DEDUCCIÓN FISCAL</t>
  </si>
  <si>
    <t>DEDUCCIONES FISCALES PROGRAMA RR345</t>
  </si>
  <si>
    <r>
      <t xml:space="preserve">Fecha del Certificado de Eficiencia Energética </t>
    </r>
    <r>
      <rPr>
        <b/>
        <sz val="11"/>
        <color theme="1"/>
        <rFont val="Calibri"/>
        <family val="2"/>
        <scheme val="minor"/>
      </rPr>
      <t>después</t>
    </r>
    <r>
      <rPr>
        <sz val="11"/>
        <color theme="1"/>
        <rFont val="Calibri"/>
        <family val="2"/>
        <scheme val="minor"/>
      </rPr>
      <t xml:space="preserve"> de la Actuación</t>
    </r>
  </si>
  <si>
    <r>
      <t xml:space="preserve">Fecha del Certificado de Eficiencia Energética </t>
    </r>
    <r>
      <rPr>
        <b/>
        <sz val="11"/>
        <color theme="1"/>
        <rFont val="Calibri"/>
        <family val="2"/>
        <scheme val="minor"/>
      </rPr>
      <t>antes</t>
    </r>
    <r>
      <rPr>
        <sz val="11"/>
        <color theme="1"/>
        <rFont val="Calibri"/>
        <family val="2"/>
        <scheme val="minor"/>
      </rPr>
      <t xml:space="preserve"> de la Actuación</t>
    </r>
  </si>
  <si>
    <t>Porcentaje de deducción sobre inversión total excluidas subvenciones y pagos en efectivo</t>
  </si>
  <si>
    <t>Base máxima de decucción</t>
  </si>
  <si>
    <t>Momento de presentación de la deducción fiscal</t>
  </si>
  <si>
    <t>Base de deducción neta (A-B)</t>
  </si>
  <si>
    <t>Ayuda recibida (B)</t>
  </si>
  <si>
    <t>Características del contribuyente objeto de la deducción</t>
  </si>
  <si>
    <t>Deducción neta máxima</t>
  </si>
  <si>
    <t>Deducción neta</t>
  </si>
  <si>
    <t>Importe a deducir en IRPF</t>
  </si>
  <si>
    <t>CÓMPUTO DE AYUDAS TOTALES PROGRAMA RR345</t>
  </si>
  <si>
    <t>1. Ayuda directa Programas RR345</t>
  </si>
  <si>
    <t>2. Complemento por Vulnerabilidad</t>
  </si>
  <si>
    <t>3. Deducción en IRPF</t>
  </si>
  <si>
    <t>Coste de la actuación subvencionable (A)</t>
  </si>
  <si>
    <t>TOTAL (1+2+3)</t>
  </si>
  <si>
    <t>2. Vivienda que forma parte de edificio de uso residencial que se rehabilita energéticamente</t>
  </si>
  <si>
    <t>Ayuda recibida por vulnerabilidad (B)</t>
  </si>
  <si>
    <t>INFORMACIÓN DE LA UNIDAD DE CONVIVENCIA</t>
  </si>
  <si>
    <t>Número de miembros de la unidad de convivencia</t>
  </si>
  <si>
    <t>*1 Cantidad en € resultante de las casillas "Base Imponible General" (casilla 435) y "Base Imponible del ahorro" (casilla 460) de la Declaración de la Renta de la unidad de convivencia o, en su caso, suma de las declaraciones individuales de las personas que forman la unidad de conviviencia. Si alguna de estas casillas está vacía, debe constar como cero euros.
Desde el 1 de julio de 2021 y hasta el 30 de junio de 2022, los ingresos que han de tomarse como referencia son los relativos a la Declaración del IRPF correspondiente al año 2020. Desde el 1 de julio de 2022 y hasta el 30 de junio de 2023, los ingresos que han de tomarse como referencia son los relativos a la Declaración del IRPF correspondiente al año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</si>
</sst>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quot;Sí&quot;;;&quot;No&quot;"/>
    <numFmt numFmtId="165" formatCode="0.00\ &quot;veces IPREM-14 2022&quot;"/>
  </numFmts>
  <fonts count="29"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b/>
      <sz val="36"/>
      <color rgb="FF0070C0"/>
      <name val="Calibri"/>
      <family val="2"/>
      <scheme val="minor"/>
    </font>
    <font>
      <b/>
      <i/>
      <sz val="18"/>
      <color rgb="FF0070C0"/>
      <name val="Calibri"/>
      <family val="2"/>
      <scheme val="minor"/>
    </font>
    <font>
      <b/>
      <sz val="26"/>
      <color rgb="FF0070C0"/>
      <name val="Calibri"/>
      <family val="2"/>
      <scheme val="minor"/>
    </font>
    <font>
      <b/>
      <i/>
      <sz val="16"/>
      <color rgb="FF0070C0"/>
      <name val="Calibri"/>
      <family val="2"/>
      <scheme val="minor"/>
    </font>
    <font>
      <b/>
      <sz val="14"/>
      <color rgb="FF4A4848"/>
      <name val="Arial"/>
      <family val="2"/>
    </font>
    <font>
      <b/>
      <sz val="30"/>
      <color rgb="FF5C9E80"/>
      <name val="Calibri"/>
      <family val="2"/>
      <scheme val="minor"/>
    </font>
    <font>
      <b/>
      <i/>
      <sz val="16"/>
      <color rgb="FF5C9E80"/>
      <name val="Calibri"/>
      <family val="2"/>
      <scheme val="minor"/>
    </font>
    <font>
      <sz val="11"/>
      <color theme="0"/>
      <name val="Calibri"/>
      <family val="2"/>
    </font>
    <font>
      <sz val="9"/>
      <color indexed="81"/>
      <name val="Tahoma"/>
      <family val="2"/>
    </font>
    <font>
      <b/>
      <sz val="9"/>
      <color indexed="81"/>
      <name val="Tahoma"/>
      <family val="2"/>
    </font>
    <font>
      <sz val="16"/>
      <name val="Calibri"/>
      <family val="2"/>
      <scheme val="minor"/>
    </font>
    <font>
      <sz val="11"/>
      <name val="Calibri"/>
      <family val="2"/>
      <scheme val="minor"/>
    </font>
    <font>
      <b/>
      <sz val="30"/>
      <name val="Calibri"/>
      <family val="2"/>
      <scheme val="minor"/>
    </font>
    <font>
      <b/>
      <i/>
      <sz val="16"/>
      <name val="Calibri"/>
      <family val="2"/>
      <scheme val="minor"/>
    </font>
    <font>
      <b/>
      <sz val="16"/>
      <color rgb="FF5C9E80"/>
      <name val="Calibri"/>
      <family val="2"/>
      <scheme val="minor"/>
    </font>
    <font>
      <b/>
      <sz val="26"/>
      <color rgb="FF5C9E80"/>
      <name val="Calibri"/>
      <family val="2"/>
      <scheme val="minor"/>
    </font>
    <font>
      <b/>
      <sz val="12"/>
      <color rgb="FFFF0000"/>
      <name val="Calibri"/>
      <family val="2"/>
      <scheme val="minor"/>
    </font>
    <font>
      <b/>
      <sz val="14"/>
      <color rgb="FFFF0000"/>
      <name val="Calibri"/>
      <family val="2"/>
      <scheme val="minor"/>
    </font>
    <font>
      <sz val="11"/>
      <color theme="1"/>
      <name val="Calibri"/>
      <family val="2"/>
    </font>
    <font>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7"/>
        <bgColor indexed="64"/>
      </patternFill>
    </fill>
    <fill>
      <patternFill patternType="solid">
        <fgColor theme="0" tint="-0.249977111117893"/>
        <bgColor indexed="64"/>
      </patternFill>
    </fill>
  </fills>
  <borders count="2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124">
    <xf numFmtId="0" fontId="0" fillId="0" borderId="0" xfId="0"/>
    <xf numFmtId="0" fontId="7" fillId="0" borderId="0" xfId="0" applyFont="1" applyAlignment="1" applyProtection="1">
      <alignment vertical="center" wrapText="1"/>
      <protection hidden="1"/>
    </xf>
    <xf numFmtId="0" fontId="2" fillId="0" borderId="9" xfId="0" applyFont="1" applyBorder="1"/>
    <xf numFmtId="0" fontId="0" fillId="0" borderId="11" xfId="0" applyBorder="1"/>
    <xf numFmtId="0" fontId="0" fillId="0" borderId="10" xfId="0" applyBorder="1"/>
    <xf numFmtId="0" fontId="0" fillId="0" borderId="10" xfId="0" applyBorder="1" applyAlignment="1">
      <alignment wrapText="1"/>
    </xf>
    <xf numFmtId="0" fontId="0" fillId="0" borderId="11" xfId="0" applyBorder="1" applyAlignment="1">
      <alignment wrapText="1"/>
    </xf>
    <xf numFmtId="0" fontId="0" fillId="0" borderId="11" xfId="0" applyBorder="1" applyAlignment="1">
      <alignment vertical="center"/>
    </xf>
    <xf numFmtId="0" fontId="0" fillId="0" borderId="10" xfId="0" applyBorder="1" applyAlignment="1">
      <alignment vertical="center"/>
    </xf>
    <xf numFmtId="0" fontId="2" fillId="0" borderId="9" xfId="0" applyFont="1" applyBorder="1" applyAlignment="1">
      <alignment wrapText="1"/>
    </xf>
    <xf numFmtId="44" fontId="0" fillId="2" borderId="6" xfId="2" applyFont="1" applyFill="1" applyBorder="1" applyAlignment="1" applyProtection="1">
      <alignment horizontal="center" vertical="center" wrapText="1"/>
      <protection locked="0"/>
    </xf>
    <xf numFmtId="0" fontId="0" fillId="0" borderId="11" xfId="0" applyBorder="1" applyAlignment="1"/>
    <xf numFmtId="0" fontId="0" fillId="0" borderId="11" xfId="0" applyFill="1" applyBorder="1" applyAlignment="1"/>
    <xf numFmtId="0" fontId="0" fillId="0" borderId="10" xfId="0" applyBorder="1" applyAlignment="1"/>
    <xf numFmtId="0" fontId="15" fillId="0" borderId="0" xfId="0" applyFont="1" applyAlignment="1" applyProtection="1">
      <alignment vertical="center" wrapText="1"/>
      <protection hidden="1"/>
    </xf>
    <xf numFmtId="0" fontId="0" fillId="0" borderId="11" xfId="0" applyFont="1" applyBorder="1"/>
    <xf numFmtId="164" fontId="0" fillId="2" borderId="2" xfId="0" applyNumberFormat="1" applyFill="1" applyBorder="1" applyAlignment="1" applyProtection="1">
      <alignment horizontal="center" vertical="center" wrapText="1"/>
      <protection locked="0"/>
    </xf>
    <xf numFmtId="44" fontId="0" fillId="0" borderId="6" xfId="2" applyFont="1" applyFill="1" applyBorder="1" applyAlignment="1" applyProtection="1">
      <alignment horizontal="center" vertical="center" wrapText="1"/>
    </xf>
    <xf numFmtId="44" fontId="3" fillId="3" borderId="2" xfId="2" applyFont="1" applyFill="1" applyBorder="1" applyAlignment="1" applyProtection="1">
      <alignment horizontal="center" vertical="center" wrapText="1"/>
    </xf>
    <xf numFmtId="44" fontId="3" fillId="3" borderId="4" xfId="2" applyFont="1" applyFill="1" applyBorder="1" applyAlignment="1" applyProtection="1">
      <alignment horizontal="center" vertical="center" wrapText="1"/>
    </xf>
    <xf numFmtId="44" fontId="3" fillId="3" borderId="6" xfId="2"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ont="1" applyAlignment="1" applyProtection="1">
      <alignment vertical="center" wrapText="1"/>
    </xf>
    <xf numFmtId="0" fontId="10"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11" fillId="0" borderId="0" xfId="0" applyFont="1" applyAlignment="1" applyProtection="1">
      <alignment vertical="center"/>
    </xf>
    <xf numFmtId="0" fontId="9" fillId="0" borderId="0" xfId="0" applyFont="1" applyAlignment="1" applyProtection="1">
      <alignment vertical="center"/>
    </xf>
    <xf numFmtId="0" fontId="14" fillId="0" borderId="0" xfId="0" applyFont="1" applyAlignment="1" applyProtection="1">
      <alignment vertical="center"/>
    </xf>
    <xf numFmtId="0" fontId="7"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2"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2" xfId="0" applyFont="1" applyBorder="1" applyAlignment="1" applyProtection="1">
      <alignment horizontal="center" vertical="center" wrapText="1"/>
    </xf>
    <xf numFmtId="10" fontId="0" fillId="0" borderId="6" xfId="1" applyNumberFormat="1" applyFont="1" applyBorder="1" applyAlignment="1" applyProtection="1">
      <alignment horizontal="right" vertical="center" wrapText="1"/>
    </xf>
    <xf numFmtId="0" fontId="3" fillId="3" borderId="1" xfId="0" applyFont="1" applyFill="1" applyBorder="1" applyAlignment="1" applyProtection="1">
      <alignment vertical="center" wrapText="1"/>
    </xf>
    <xf numFmtId="0" fontId="3" fillId="3" borderId="5"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12" fillId="0" borderId="0" xfId="0" applyFont="1" applyProtection="1"/>
    <xf numFmtId="0" fontId="19" fillId="0" borderId="0" xfId="0" applyFont="1" applyAlignment="1" applyProtection="1">
      <alignment vertical="center" wrapText="1"/>
    </xf>
    <xf numFmtId="0" fontId="20" fillId="0" borderId="0" xfId="0" applyFont="1" applyAlignment="1" applyProtection="1">
      <alignment vertical="center"/>
    </xf>
    <xf numFmtId="0" fontId="21" fillId="0" borderId="0" xfId="0" applyFont="1" applyAlignment="1" applyProtection="1">
      <alignment horizontal="center" vertical="center"/>
    </xf>
    <xf numFmtId="0" fontId="19" fillId="0" borderId="0" xfId="0" applyFont="1" applyAlignment="1" applyProtection="1">
      <alignment horizontal="center" vertical="center" wrapText="1"/>
    </xf>
    <xf numFmtId="0" fontId="19" fillId="0" borderId="0" xfId="0" applyFont="1" applyBorder="1" applyAlignment="1" applyProtection="1">
      <alignment vertical="center" wrapText="1"/>
    </xf>
    <xf numFmtId="0" fontId="19" fillId="0" borderId="5" xfId="0" applyFont="1" applyBorder="1" applyAlignment="1" applyProtection="1"/>
    <xf numFmtId="0" fontId="19" fillId="0" borderId="5" xfId="0" applyFont="1" applyFill="1" applyBorder="1" applyAlignment="1" applyProtection="1"/>
    <xf numFmtId="0" fontId="19" fillId="0" borderId="0" xfId="0" applyFont="1" applyAlignment="1" applyProtection="1">
      <alignment vertical="center" wrapText="1"/>
      <protection hidden="1"/>
    </xf>
    <xf numFmtId="164" fontId="7" fillId="4" borderId="4" xfId="0" applyNumberFormat="1" applyFont="1" applyFill="1" applyBorder="1" applyAlignment="1" applyProtection="1">
      <alignment horizontal="center" vertical="center" wrapText="1"/>
      <protection locked="0"/>
    </xf>
    <xf numFmtId="10" fontId="7" fillId="4" borderId="6" xfId="1" applyNumberFormat="1" applyFont="1" applyFill="1" applyBorder="1" applyAlignment="1" applyProtection="1">
      <alignment horizontal="center" vertical="center" wrapText="1"/>
      <protection locked="0"/>
    </xf>
    <xf numFmtId="10" fontId="7" fillId="4" borderId="4" xfId="1" applyNumberFormat="1" applyFont="1" applyFill="1" applyBorder="1" applyAlignment="1" applyProtection="1">
      <alignment horizontal="center" vertical="center" wrapText="1"/>
      <protection locked="0"/>
    </xf>
    <xf numFmtId="44" fontId="0" fillId="0" borderId="0" xfId="0" applyNumberFormat="1" applyBorder="1" applyAlignment="1" applyProtection="1">
      <alignment horizontal="center" vertical="center" wrapText="1"/>
    </xf>
    <xf numFmtId="0" fontId="0" fillId="0" borderId="5" xfId="0" applyFont="1" applyBorder="1" applyAlignment="1" applyProtection="1">
      <alignment horizontal="left" vertical="center" wrapText="1"/>
    </xf>
    <xf numFmtId="44" fontId="19" fillId="0" borderId="0" xfId="0" applyNumberFormat="1" applyFont="1" applyAlignment="1" applyProtection="1">
      <alignment vertical="center" wrapText="1"/>
      <protection hidden="1"/>
    </xf>
    <xf numFmtId="0" fontId="3" fillId="0" borderId="3" xfId="0" applyFont="1" applyBorder="1" applyAlignment="1" applyProtection="1">
      <alignment vertical="center" wrapText="1"/>
    </xf>
    <xf numFmtId="44" fontId="3" fillId="0" borderId="4" xfId="2" applyFont="1" applyFill="1" applyBorder="1" applyAlignment="1" applyProtection="1">
      <alignment horizontal="center" vertical="center" wrapText="1"/>
    </xf>
    <xf numFmtId="164" fontId="0" fillId="2" borderId="6" xfId="0" applyNumberFormat="1" applyFont="1" applyFill="1" applyBorder="1" applyAlignment="1" applyProtection="1">
      <alignment horizontal="center" vertical="center" wrapText="1"/>
      <protection locked="0"/>
    </xf>
    <xf numFmtId="0" fontId="0" fillId="0" borderId="5" xfId="0" applyFont="1" applyBorder="1" applyAlignment="1" applyProtection="1">
      <alignment vertical="center" wrapText="1"/>
    </xf>
    <xf numFmtId="0" fontId="0" fillId="0" borderId="3" xfId="0" applyFont="1" applyBorder="1" applyAlignment="1" applyProtection="1">
      <alignment vertical="center" wrapText="1"/>
    </xf>
    <xf numFmtId="1" fontId="0" fillId="2" borderId="6" xfId="0" applyNumberFormat="1" applyFont="1" applyFill="1" applyBorder="1" applyAlignment="1" applyProtection="1">
      <alignment horizontal="center" vertical="center" wrapText="1"/>
      <protection locked="0"/>
    </xf>
    <xf numFmtId="0" fontId="0" fillId="0" borderId="3" xfId="0" applyFont="1" applyBorder="1" applyAlignment="1" applyProtection="1">
      <alignment horizontal="left" vertical="center" wrapText="1"/>
    </xf>
    <xf numFmtId="2" fontId="0" fillId="2" borderId="4" xfId="0" applyNumberFormat="1" applyFont="1" applyFill="1" applyBorder="1" applyAlignment="1" applyProtection="1">
      <alignment horizontal="center" vertical="center" wrapText="1"/>
      <protection locked="0"/>
    </xf>
    <xf numFmtId="44" fontId="0" fillId="0" borderId="6" xfId="0" applyNumberFormat="1" applyFont="1" applyBorder="1" applyAlignment="1" applyProtection="1">
      <alignment horizontal="center" vertical="center" wrapText="1"/>
    </xf>
    <xf numFmtId="0" fontId="0" fillId="0" borderId="6" xfId="0" applyNumberFormat="1" applyFont="1" applyBorder="1" applyAlignment="1" applyProtection="1">
      <alignment horizontal="right" vertical="center" wrapText="1"/>
    </xf>
    <xf numFmtId="44" fontId="19" fillId="0" borderId="0" xfId="2" applyFont="1" applyAlignment="1" applyProtection="1">
      <alignment vertical="center" wrapText="1"/>
      <protection hidden="1"/>
    </xf>
    <xf numFmtId="164" fontId="7" fillId="4" borderId="6" xfId="0" applyNumberFormat="1" applyFont="1" applyFill="1" applyBorder="1" applyAlignment="1" applyProtection="1">
      <alignment horizontal="center" vertical="center" wrapText="1"/>
      <protection locked="0"/>
    </xf>
    <xf numFmtId="44" fontId="7" fillId="4" borderId="6" xfId="2" applyFont="1" applyFill="1" applyBorder="1" applyAlignment="1" applyProtection="1">
      <alignment horizontal="center" vertical="center" wrapText="1"/>
      <protection locked="0"/>
    </xf>
    <xf numFmtId="9" fontId="19" fillId="0" borderId="0" xfId="1" applyFont="1" applyAlignment="1" applyProtection="1">
      <alignment vertical="center" wrapText="1"/>
      <protection hidden="1"/>
    </xf>
    <xf numFmtId="9" fontId="19" fillId="0" borderId="0" xfId="1" applyNumberFormat="1" applyFont="1" applyAlignment="1" applyProtection="1">
      <alignment vertical="center" wrapText="1"/>
      <protection hidden="1"/>
    </xf>
    <xf numFmtId="0" fontId="1" fillId="0" borderId="6" xfId="0" applyNumberFormat="1" applyFont="1" applyBorder="1" applyAlignment="1" applyProtection="1">
      <alignment horizontal="center" vertical="center" wrapText="1"/>
    </xf>
    <xf numFmtId="0" fontId="19" fillId="0" borderId="0" xfId="0" applyFont="1" applyFill="1" applyAlignment="1" applyProtection="1">
      <alignment vertical="center" wrapText="1"/>
    </xf>
    <xf numFmtId="0" fontId="22" fillId="0" borderId="0" xfId="0" applyFont="1" applyAlignment="1" applyProtection="1">
      <alignment horizontal="right" vertical="center"/>
    </xf>
    <xf numFmtId="0" fontId="22" fillId="0" borderId="0" xfId="0" applyFont="1" applyAlignment="1" applyProtection="1">
      <alignment horizontal="center" vertical="center"/>
    </xf>
    <xf numFmtId="0" fontId="4" fillId="0" borderId="1" xfId="0" applyFont="1" applyBorder="1" applyAlignment="1" applyProtection="1">
      <alignment vertical="center" wrapText="1"/>
    </xf>
    <xf numFmtId="0" fontId="2" fillId="0" borderId="14" xfId="0" applyFont="1" applyFill="1" applyBorder="1" applyAlignment="1">
      <alignment vertical="center"/>
    </xf>
    <xf numFmtId="0" fontId="2" fillId="0" borderId="15" xfId="0" applyFont="1" applyFill="1" applyBorder="1" applyAlignment="1">
      <alignment vertical="center" wrapText="1"/>
    </xf>
    <xf numFmtId="0" fontId="0" fillId="0" borderId="16" xfId="0" applyFont="1" applyFill="1" applyBorder="1" applyAlignment="1">
      <alignment horizontal="righ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0" fillId="0" borderId="18" xfId="0" applyFont="1" applyFill="1" applyBorder="1" applyAlignment="1">
      <alignment horizontal="right" vertical="center"/>
    </xf>
    <xf numFmtId="0" fontId="0" fillId="0" borderId="19" xfId="0" applyFont="1" applyFill="1" applyBorder="1" applyAlignment="1">
      <alignment vertical="center"/>
    </xf>
    <xf numFmtId="0" fontId="0" fillId="2" borderId="6" xfId="0" applyFill="1" applyBorder="1" applyAlignment="1" applyProtection="1">
      <alignment horizontal="right" vertical="center" wrapText="1"/>
      <protection locked="0"/>
    </xf>
    <xf numFmtId="0" fontId="0" fillId="2" borderId="6" xfId="2" applyNumberFormat="1" applyFont="1" applyFill="1" applyBorder="1" applyAlignment="1" applyProtection="1">
      <alignment horizontal="center" vertical="center" wrapText="1"/>
      <protection locked="0"/>
    </xf>
    <xf numFmtId="165" fontId="3" fillId="3" borderId="2" xfId="2" applyNumberFormat="1" applyFont="1" applyFill="1" applyBorder="1" applyAlignment="1" applyProtection="1">
      <alignment horizontal="center" vertical="center" wrapText="1"/>
    </xf>
    <xf numFmtId="0" fontId="19" fillId="0" borderId="0" xfId="0" applyFont="1" applyAlignment="1" applyProtection="1">
      <alignment horizontal="right" vertical="center" wrapText="1"/>
    </xf>
    <xf numFmtId="0" fontId="19" fillId="0" borderId="0" xfId="0" applyFont="1" applyAlignment="1" applyProtection="1">
      <alignment horizontal="right" vertical="center" wrapText="1"/>
      <protection hidden="1"/>
    </xf>
    <xf numFmtId="44" fontId="3" fillId="3" borderId="6" xfId="2" applyFont="1" applyFill="1" applyBorder="1" applyAlignment="1" applyProtection="1">
      <alignment horizontal="right" vertical="center" wrapText="1"/>
    </xf>
    <xf numFmtId="44" fontId="3" fillId="3" borderId="4" xfId="2" applyFont="1" applyFill="1" applyBorder="1" applyAlignment="1" applyProtection="1">
      <alignment horizontal="right" vertical="center" wrapText="1"/>
    </xf>
    <xf numFmtId="0" fontId="24" fillId="0" borderId="6" xfId="0" applyFont="1" applyBorder="1" applyAlignment="1" applyProtection="1">
      <alignment horizontal="center" vertical="center" wrapText="1"/>
    </xf>
    <xf numFmtId="10" fontId="0" fillId="0" borderId="6" xfId="1" applyNumberFormat="1" applyFont="1" applyFill="1" applyBorder="1" applyAlignment="1" applyProtection="1">
      <alignment horizontal="right" vertical="center" wrapText="1"/>
    </xf>
    <xf numFmtId="44" fontId="0" fillId="0" borderId="4" xfId="2" applyFont="1" applyFill="1" applyBorder="1" applyAlignment="1" applyProtection="1">
      <alignment horizontal="center" vertical="center" wrapText="1"/>
    </xf>
    <xf numFmtId="0" fontId="25" fillId="0" borderId="5" xfId="0" applyFont="1" applyBorder="1" applyAlignment="1" applyProtection="1">
      <alignment vertical="center" wrapText="1"/>
    </xf>
    <xf numFmtId="0" fontId="20" fillId="0" borderId="0" xfId="0" applyFont="1" applyAlignment="1" applyProtection="1">
      <alignment horizontal="right" vertical="center"/>
    </xf>
    <xf numFmtId="0" fontId="21" fillId="0" borderId="0" xfId="0" applyFont="1" applyAlignment="1" applyProtection="1">
      <alignment horizontal="right" vertical="center"/>
    </xf>
    <xf numFmtId="44" fontId="19" fillId="0" borderId="0" xfId="0" applyNumberFormat="1" applyFont="1" applyAlignment="1" applyProtection="1">
      <alignment horizontal="right" vertical="center" wrapText="1"/>
      <protection hidden="1"/>
    </xf>
    <xf numFmtId="0" fontId="0" fillId="0" borderId="0" xfId="0" applyBorder="1" applyAlignment="1">
      <alignment vertical="center"/>
    </xf>
    <xf numFmtId="0" fontId="0" fillId="0" borderId="0" xfId="0" applyAlignment="1" applyProtection="1">
      <alignment horizontal="right" vertical="center" wrapText="1"/>
    </xf>
    <xf numFmtId="44" fontId="0" fillId="0" borderId="6" xfId="2" applyFont="1" applyFill="1" applyBorder="1" applyAlignment="1" applyProtection="1">
      <alignment horizontal="right" vertical="center" wrapText="1"/>
    </xf>
    <xf numFmtId="10" fontId="0" fillId="0" borderId="4" xfId="1" applyNumberFormat="1" applyFont="1" applyFill="1" applyBorder="1" applyAlignment="1" applyProtection="1">
      <alignment horizontal="right" vertical="center" wrapText="1"/>
    </xf>
    <xf numFmtId="0" fontId="4" fillId="0" borderId="1" xfId="0" applyFont="1" applyBorder="1" applyAlignment="1" applyProtection="1">
      <alignment vertical="center" wrapText="1"/>
    </xf>
    <xf numFmtId="44" fontId="3" fillId="3" borderId="2" xfId="2" applyFont="1" applyFill="1" applyBorder="1" applyAlignment="1" applyProtection="1">
      <alignment horizontal="right" vertical="center" wrapText="1"/>
    </xf>
    <xf numFmtId="0" fontId="1" fillId="3" borderId="1" xfId="0" applyFont="1" applyFill="1" applyBorder="1" applyAlignment="1" applyProtection="1">
      <alignment vertical="center" wrapText="1"/>
    </xf>
    <xf numFmtId="44" fontId="1" fillId="3" borderId="2" xfId="2" applyFont="1" applyFill="1" applyBorder="1" applyAlignment="1" applyProtection="1">
      <alignment horizontal="right" vertical="center" wrapText="1"/>
    </xf>
    <xf numFmtId="0" fontId="1" fillId="3" borderId="5" xfId="0" applyFont="1" applyFill="1" applyBorder="1" applyAlignment="1" applyProtection="1">
      <alignment vertical="center" wrapText="1"/>
    </xf>
    <xf numFmtId="44" fontId="1" fillId="3" borderId="6" xfId="2" applyFont="1" applyFill="1" applyBorder="1" applyAlignment="1" applyProtection="1">
      <alignment horizontal="right" vertical="center" wrapText="1"/>
    </xf>
    <xf numFmtId="44" fontId="3" fillId="3" borderId="4" xfId="2" applyNumberFormat="1" applyFont="1" applyFill="1" applyBorder="1" applyAlignment="1" applyProtection="1">
      <alignment horizontal="right" vertical="center" wrapText="1"/>
    </xf>
    <xf numFmtId="0" fontId="27" fillId="0" borderId="22" xfId="0" applyFont="1" applyBorder="1" applyAlignment="1" applyProtection="1">
      <alignment horizontal="left" vertical="top" wrapText="1"/>
    </xf>
    <xf numFmtId="0" fontId="4" fillId="0" borderId="1" xfId="0" applyFont="1" applyBorder="1" applyAlignment="1" applyProtection="1">
      <alignment vertical="center" wrapText="1"/>
    </xf>
    <xf numFmtId="0" fontId="5" fillId="0" borderId="2" xfId="0" applyFont="1" applyBorder="1" applyAlignment="1" applyProtection="1">
      <alignment vertical="center" wrapText="1"/>
    </xf>
    <xf numFmtId="0" fontId="13" fillId="0" borderId="0" xfId="0" applyFont="1" applyAlignment="1" applyProtection="1">
      <alignment horizontal="center" vertical="center"/>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4" fillId="0" borderId="7" xfId="0" applyFont="1" applyBorder="1" applyAlignment="1" applyProtection="1">
      <alignment vertical="center" wrapText="1"/>
    </xf>
    <xf numFmtId="0" fontId="5" fillId="0" borderId="8"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23" fillId="0" borderId="0" xfId="0" applyFont="1" applyAlignment="1" applyProtection="1">
      <alignment horizontal="center" vertical="center"/>
    </xf>
  </cellXfs>
  <cellStyles count="3">
    <cellStyle name="Moneda" xfId="2" builtinId="4"/>
    <cellStyle name="Normal" xfId="0" builtinId="0"/>
    <cellStyle name="Porcentaje" xfId="1" builtinId="5"/>
  </cellStyles>
  <dxfs count="40">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rgb="FFFF0000"/>
      </font>
    </dxf>
    <dxf>
      <font>
        <color theme="0"/>
      </font>
      <fill>
        <patternFill>
          <bgColor theme="0" tint="-0.24994659260841701"/>
        </patternFill>
      </fill>
    </dxf>
    <dxf>
      <font>
        <color rgb="FFFF0000"/>
      </font>
    </dxf>
    <dxf>
      <font>
        <b/>
        <i val="0"/>
        <color rgb="FFFF0000"/>
      </font>
    </dxf>
    <dxf>
      <font>
        <b/>
        <i val="0"/>
        <color rgb="FFFF0000"/>
      </font>
    </dxf>
    <dxf>
      <font>
        <color theme="1"/>
      </font>
      <fill>
        <patternFill>
          <bgColor theme="9" tint="0.59996337778862885"/>
        </patternFill>
      </fill>
    </dxf>
    <dxf>
      <font>
        <color theme="1"/>
      </font>
      <fill>
        <patternFill>
          <bgColor theme="9" tint="0.59996337778862885"/>
        </patternFill>
      </fill>
    </dxf>
    <dxf>
      <font>
        <color theme="0"/>
      </font>
      <fill>
        <patternFill>
          <bgColor theme="0" tint="-0.24994659260841701"/>
        </patternFill>
      </fill>
    </dxf>
    <dxf>
      <font>
        <color theme="1"/>
      </font>
      <fill>
        <patternFill>
          <bgColor theme="9" tint="0.59996337778862885"/>
        </patternFill>
      </fill>
    </dxf>
    <dxf>
      <font>
        <color theme="0"/>
      </font>
      <fill>
        <patternFill>
          <bgColor theme="0" tint="-0.24994659260841701"/>
        </patternFill>
      </fill>
    </dxf>
    <dxf>
      <font>
        <color rgb="FFFF0000"/>
      </font>
    </dxf>
    <dxf>
      <font>
        <color theme="1"/>
      </font>
      <fill>
        <patternFill>
          <bgColor theme="9" tint="0.59996337778862885"/>
        </patternFill>
      </fill>
    </dxf>
    <dxf>
      <font>
        <color theme="0"/>
      </font>
      <fill>
        <patternFill>
          <bgColor theme="0" tint="-0.24994659260841701"/>
        </patternFill>
      </fill>
    </dxf>
    <dxf>
      <font>
        <color rgb="FFFF0000"/>
      </font>
    </dxf>
    <dxf>
      <font>
        <color theme="1"/>
      </font>
      <fill>
        <patternFill>
          <bgColor theme="9" tint="0.59996337778862885"/>
        </patternFill>
      </fill>
    </dxf>
    <dxf>
      <font>
        <color rgb="FFFF0000"/>
      </font>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b/>
        <i val="0"/>
        <color rgb="FFFF0000"/>
      </font>
      <fill>
        <patternFill patternType="none">
          <bgColor auto="1"/>
        </patternFill>
      </fill>
    </dxf>
    <dxf>
      <font>
        <b/>
        <i val="0"/>
        <color theme="9" tint="-0.24994659260841701"/>
      </font>
    </dxf>
    <dxf>
      <font>
        <b/>
        <i val="0"/>
        <color rgb="FFFF0000"/>
      </font>
    </dxf>
    <dxf>
      <font>
        <b/>
        <i val="0"/>
        <strike val="0"/>
        <color rgb="FFFF0000"/>
      </font>
    </dxf>
    <dxf>
      <font>
        <b/>
        <i val="0"/>
        <color rgb="FFFF0000"/>
      </font>
    </dxf>
    <dxf>
      <font>
        <b/>
        <i val="0"/>
        <color theme="9" tint="-0.24994659260841701"/>
      </font>
    </dxf>
    <dxf>
      <font>
        <b/>
        <i val="0"/>
        <strike val="0"/>
        <color rgb="FFFF0000"/>
      </font>
    </dxf>
    <dxf>
      <font>
        <b/>
        <i val="0"/>
        <color theme="9" tint="-0.24994659260841701"/>
      </font>
    </dxf>
    <dxf>
      <font>
        <color theme="0"/>
      </font>
      <fill>
        <patternFill>
          <bgColor theme="0" tint="-0.24994659260841701"/>
        </patternFill>
      </fill>
    </dxf>
    <dxf>
      <font>
        <b/>
        <i val="0"/>
        <strike val="0"/>
        <color rgb="FFFF0000"/>
      </font>
    </dxf>
    <dxf>
      <font>
        <b/>
        <i val="0"/>
        <color theme="9" tint="-0.24994659260841701"/>
      </font>
    </dxf>
    <dxf>
      <font>
        <color theme="0"/>
      </font>
      <fill>
        <patternFill>
          <bgColor theme="0" tint="-0.24994659260841701"/>
        </patternFill>
      </fill>
    </dxf>
    <dxf>
      <font>
        <color theme="0"/>
      </font>
      <fill>
        <patternFill>
          <bgColor theme="0" tint="-0.24994659260841701"/>
        </patternFill>
      </fill>
    </dxf>
  </dxfs>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eg"/><Relationship Id="rId1" Type="http://schemas.openxmlformats.org/officeDocument/2006/relationships/image" Target="../media/image1.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6362701</xdr:colOff>
      <xdr:row>1</xdr:row>
      <xdr:rowOff>9525</xdr:rowOff>
    </xdr:from>
    <xdr:to>
      <xdr:col>1</xdr:col>
      <xdr:colOff>1771650</xdr:colOff>
      <xdr:row>1</xdr:row>
      <xdr:rowOff>687421</xdr:rowOff>
    </xdr:to>
    <xdr:pic>
      <xdr:nvPicPr>
        <xdr:cNvPr id="4" name="Imagen 1" descr="LOGO PV Movilidad, Transporte y Viviend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2701" y="200025"/>
          <a:ext cx="2124074" cy="677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4133851</xdr:colOff>
      <xdr:row>0</xdr:row>
      <xdr:rowOff>180975</xdr:rowOff>
    </xdr:from>
    <xdr:to>
      <xdr:col>0</xdr:col>
      <xdr:colOff>6305550</xdr:colOff>
      <xdr:row>1</xdr:row>
      <xdr:rowOff>610960</xdr:rowOff>
    </xdr:to>
    <xdr:pic>
      <xdr:nvPicPr>
        <xdr:cNvPr id="5" name="Imagen 2" descr="ES Financiado por la Unión Europea_P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1" y="180975"/>
          <a:ext cx="2171699"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1914526</xdr:colOff>
      <xdr:row>1</xdr:row>
      <xdr:rowOff>38102</xdr:rowOff>
    </xdr:from>
    <xdr:to>
      <xdr:col>0</xdr:col>
      <xdr:colOff>4182466</xdr:colOff>
      <xdr:row>1</xdr:row>
      <xdr:rowOff>590550</xdr:rowOff>
    </xdr:to>
    <xdr:pic>
      <xdr:nvPicPr>
        <xdr:cNvPr id="6" name="Imagen 3" descr="Logo PRTR tres li╠üneas_COLOR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14526" y="228602"/>
          <a:ext cx="2267940" cy="552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1</xdr:row>
      <xdr:rowOff>47626</xdr:rowOff>
    </xdr:from>
    <xdr:to>
      <xdr:col>0</xdr:col>
      <xdr:colOff>1872252</xdr:colOff>
      <xdr:row>1</xdr:row>
      <xdr:rowOff>590549</xdr:rowOff>
    </xdr:to>
    <xdr:pic>
      <xdr:nvPicPr>
        <xdr:cNvPr id="7" name="Imagen 6" descr="LOGO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238126"/>
          <a:ext cx="1843677" cy="542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6362701</xdr:colOff>
      <xdr:row>1</xdr:row>
      <xdr:rowOff>9525</xdr:rowOff>
    </xdr:from>
    <xdr:to>
      <xdr:col>1</xdr:col>
      <xdr:colOff>1771650</xdr:colOff>
      <xdr:row>1</xdr:row>
      <xdr:rowOff>687421</xdr:rowOff>
    </xdr:to>
    <xdr:pic>
      <xdr:nvPicPr>
        <xdr:cNvPr id="2" name="Imagen 1" descr="LOGO PV Movilidad, Transporte y Viviend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2701" y="200025"/>
          <a:ext cx="2124074" cy="639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4133851</xdr:colOff>
      <xdr:row>0</xdr:row>
      <xdr:rowOff>180975</xdr:rowOff>
    </xdr:from>
    <xdr:to>
      <xdr:col>0</xdr:col>
      <xdr:colOff>6305550</xdr:colOff>
      <xdr:row>1</xdr:row>
      <xdr:rowOff>610960</xdr:rowOff>
    </xdr:to>
    <xdr:pic>
      <xdr:nvPicPr>
        <xdr:cNvPr id="3" name="Imagen 2" descr="ES Financiado por la Unión Europea_P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1" y="180975"/>
          <a:ext cx="2171699"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1914526</xdr:colOff>
      <xdr:row>1</xdr:row>
      <xdr:rowOff>38102</xdr:rowOff>
    </xdr:from>
    <xdr:to>
      <xdr:col>0</xdr:col>
      <xdr:colOff>4182466</xdr:colOff>
      <xdr:row>1</xdr:row>
      <xdr:rowOff>590550</xdr:rowOff>
    </xdr:to>
    <xdr:pic>
      <xdr:nvPicPr>
        <xdr:cNvPr id="4" name="Imagen 3" descr="Logo PRTR tres li╠üneas_COLOR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14526" y="228602"/>
          <a:ext cx="2267940" cy="552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1</xdr:row>
      <xdr:rowOff>47626</xdr:rowOff>
    </xdr:from>
    <xdr:to>
      <xdr:col>0</xdr:col>
      <xdr:colOff>1872252</xdr:colOff>
      <xdr:row>1</xdr:row>
      <xdr:rowOff>590549</xdr:rowOff>
    </xdr:to>
    <xdr:pic>
      <xdr:nvPicPr>
        <xdr:cNvPr id="5" name="Imagen 4" descr="LOGO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238126"/>
          <a:ext cx="1843677" cy="542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704851</xdr:colOff>
      <xdr:row>1</xdr:row>
      <xdr:rowOff>38100</xdr:rowOff>
    </xdr:from>
    <xdr:to>
      <xdr:col>3</xdr:col>
      <xdr:colOff>28575</xdr:colOff>
      <xdr:row>2</xdr:row>
      <xdr:rowOff>30196</xdr:rowOff>
    </xdr:to>
    <xdr:pic>
      <xdr:nvPicPr>
        <xdr:cNvPr id="6" name="Imagen 5" descr="LOGO PV Movilidad, Transporte y Viviend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6" y="228600"/>
          <a:ext cx="1771649" cy="639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4486276</xdr:colOff>
      <xdr:row>0</xdr:row>
      <xdr:rowOff>161925</xdr:rowOff>
    </xdr:from>
    <xdr:to>
      <xdr:col>1</xdr:col>
      <xdr:colOff>352425</xdr:colOff>
      <xdr:row>1</xdr:row>
      <xdr:rowOff>591910</xdr:rowOff>
    </xdr:to>
    <xdr:pic>
      <xdr:nvPicPr>
        <xdr:cNvPr id="7" name="Imagen 6" descr="ES Financiado por la Unión Europea_P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6276" y="161925"/>
          <a:ext cx="1914524"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2105026</xdr:colOff>
      <xdr:row>1</xdr:row>
      <xdr:rowOff>47627</xdr:rowOff>
    </xdr:from>
    <xdr:to>
      <xdr:col>0</xdr:col>
      <xdr:colOff>4372966</xdr:colOff>
      <xdr:row>1</xdr:row>
      <xdr:rowOff>600075</xdr:rowOff>
    </xdr:to>
    <xdr:pic>
      <xdr:nvPicPr>
        <xdr:cNvPr id="8" name="Imagen 7" descr="Logo PRTR tres li╠üneas_COLOR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05026" y="238127"/>
          <a:ext cx="2267940" cy="552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1</xdr:row>
      <xdr:rowOff>47626</xdr:rowOff>
    </xdr:from>
    <xdr:to>
      <xdr:col>0</xdr:col>
      <xdr:colOff>1872252</xdr:colOff>
      <xdr:row>1</xdr:row>
      <xdr:rowOff>590549</xdr:rowOff>
    </xdr:to>
    <xdr:pic>
      <xdr:nvPicPr>
        <xdr:cNvPr id="9" name="Imagen 8" descr="LOGO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238126"/>
          <a:ext cx="1843677" cy="542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647701</xdr:colOff>
      <xdr:row>1</xdr:row>
      <xdr:rowOff>57150</xdr:rowOff>
    </xdr:from>
    <xdr:to>
      <xdr:col>1</xdr:col>
      <xdr:colOff>2419350</xdr:colOff>
      <xdr:row>2</xdr:row>
      <xdr:rowOff>49246</xdr:rowOff>
    </xdr:to>
    <xdr:pic>
      <xdr:nvPicPr>
        <xdr:cNvPr id="2" name="Imagen 1" descr="LOGO PV Movilidad, Transporte y Viviend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6076" y="247650"/>
          <a:ext cx="1771649" cy="639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4514851</xdr:colOff>
      <xdr:row>1</xdr:row>
      <xdr:rowOff>38100</xdr:rowOff>
    </xdr:from>
    <xdr:to>
      <xdr:col>1</xdr:col>
      <xdr:colOff>381000</xdr:colOff>
      <xdr:row>2</xdr:row>
      <xdr:rowOff>10885</xdr:rowOff>
    </xdr:to>
    <xdr:pic>
      <xdr:nvPicPr>
        <xdr:cNvPr id="3" name="Imagen 2" descr="ES Financiado por la Unión Europea_P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4851" y="228600"/>
          <a:ext cx="1914524"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2047876</xdr:colOff>
      <xdr:row>1</xdr:row>
      <xdr:rowOff>28577</xdr:rowOff>
    </xdr:from>
    <xdr:to>
      <xdr:col>0</xdr:col>
      <xdr:colOff>4315816</xdr:colOff>
      <xdr:row>1</xdr:row>
      <xdr:rowOff>581025</xdr:rowOff>
    </xdr:to>
    <xdr:pic>
      <xdr:nvPicPr>
        <xdr:cNvPr id="4" name="Imagen 3" descr="Logo PRTR tres li╠üneas_COLOR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47876" y="219077"/>
          <a:ext cx="2267940" cy="552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1</xdr:row>
      <xdr:rowOff>47626</xdr:rowOff>
    </xdr:from>
    <xdr:to>
      <xdr:col>0</xdr:col>
      <xdr:colOff>1872252</xdr:colOff>
      <xdr:row>1</xdr:row>
      <xdr:rowOff>590549</xdr:rowOff>
    </xdr:to>
    <xdr:pic>
      <xdr:nvPicPr>
        <xdr:cNvPr id="5" name="Imagen 4" descr="LOGO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238126"/>
          <a:ext cx="1843677" cy="542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66"/>
  <sheetViews>
    <sheetView showGridLines="0" tabSelected="1" zoomScaleNormal="100" workbookViewId="0">
      <selection activeCell="A8" sqref="A8:B8"/>
    </sheetView>
  </sheetViews>
  <sheetFormatPr baseColWidth="10" defaultColWidth="8.85546875" defaultRowHeight="15" x14ac:dyDescent="0.25"/>
  <cols>
    <col min="1" max="1" width="100.7109375" style="21" customWidth="1" collapsed="1"/>
    <col min="2" max="2" width="26.7109375" style="21" customWidth="1" collapsed="1"/>
    <col min="3" max="3" width="11.42578125" style="41" hidden="1" customWidth="1" collapsed="1"/>
    <col min="4" max="4" width="17.7109375" style="22" customWidth="1" collapsed="1"/>
    <col min="5" max="5" width="18.28515625" style="21" customWidth="1" collapsed="1"/>
    <col min="6" max="6" width="20.7109375" style="21" customWidth="1" collapsed="1"/>
    <col min="7" max="7" width="20.140625" style="21" customWidth="1" collapsed="1"/>
    <col min="8" max="8" width="21" style="21" customWidth="1" collapsed="1"/>
    <col min="9" max="9" width="13.7109375" style="21" customWidth="1" collapsed="1"/>
    <col min="10" max="10" width="10.42578125" style="21" customWidth="1" collapsed="1"/>
    <col min="11" max="11" width="11.7109375" style="21" customWidth="1" collapsed="1"/>
    <col min="12" max="16384" width="8.85546875" style="21" collapsed="1"/>
  </cols>
  <sheetData>
    <row r="2" spans="1:11" ht="51" customHeight="1" x14ac:dyDescent="0.25">
      <c r="H2" s="23"/>
      <c r="I2" s="23"/>
      <c r="J2" s="24"/>
      <c r="K2" s="24"/>
    </row>
    <row r="3" spans="1:11" ht="51" customHeight="1" x14ac:dyDescent="0.25">
      <c r="A3" s="110" t="s">
        <v>44</v>
      </c>
      <c r="B3" s="110"/>
      <c r="C3" s="42"/>
      <c r="D3" s="25"/>
      <c r="E3" s="25"/>
      <c r="F3" s="25"/>
      <c r="G3" s="26"/>
      <c r="H3" s="27"/>
      <c r="I3" s="27"/>
      <c r="J3" s="28"/>
      <c r="K3" s="28"/>
    </row>
    <row r="4" spans="1:11" ht="21" x14ac:dyDescent="0.25">
      <c r="A4" s="72" t="s">
        <v>72</v>
      </c>
      <c r="B4" s="73"/>
      <c r="C4" s="43"/>
      <c r="D4" s="26"/>
      <c r="E4" s="26"/>
      <c r="F4" s="29"/>
    </row>
    <row r="5" spans="1:11" ht="21" x14ac:dyDescent="0.25">
      <c r="A5" s="111" t="s">
        <v>45</v>
      </c>
      <c r="B5" s="112"/>
    </row>
    <row r="6" spans="1:11" ht="15.75" thickBot="1" x14ac:dyDescent="0.3"/>
    <row r="7" spans="1:11" ht="18.75" customHeight="1" x14ac:dyDescent="0.25">
      <c r="A7" s="117" t="s">
        <v>7</v>
      </c>
      <c r="B7" s="118"/>
    </row>
    <row r="8" spans="1:11" ht="36" customHeight="1" thickBot="1" x14ac:dyDescent="0.3">
      <c r="A8" s="119" t="s">
        <v>23</v>
      </c>
      <c r="B8" s="120"/>
      <c r="C8" s="44" t="str">
        <f>IF(A8=Full1!A27,1,IF(A8=Full1!A28,2,IF(A8=Full1!A29,3,IF(A8=Full1!A30,4,IF(A8=Full1!A31,5,IF(A8=Full1!A32,6,"ERROR"))))))</f>
        <v>ERROR</v>
      </c>
    </row>
    <row r="9" spans="1:11" ht="15" customHeight="1" thickBot="1" x14ac:dyDescent="0.3"/>
    <row r="10" spans="1:11" ht="18.75" x14ac:dyDescent="0.25">
      <c r="A10" s="117" t="s">
        <v>5</v>
      </c>
      <c r="B10" s="118"/>
    </row>
    <row r="11" spans="1:11" ht="36" customHeight="1" thickBot="1" x14ac:dyDescent="0.3">
      <c r="A11" s="119" t="s">
        <v>23</v>
      </c>
      <c r="B11" s="120"/>
      <c r="C11" s="44" t="str">
        <f>IF(A11="Programa 3 (P3). Programa de ayuda a las actuaciones de rehabilitación a nivel de edificios.",1,IF(A11="Programa 4 (P4). Programa de ayuda a las actuaciones de mejora de la eficiencia en viviendas.",2,IF(A11="Programa 5 (P5.1 + P5.2). Programa de ayuda a la elaboración del libro del edificio existente y la redacción de proyecto de rehabilitación.",3,IF(A11="Programa 5.1 (P5.1). Programa de Elaboración del Libro del Edificio Existente para la rehabilitación.",4,IF(A11="Programa 5.2 (P5.2). Programa de Redacción de Proyecto Técnico de Rehabilitación Integral de edificio.",5,IF(A11="Programa 3 (P3) + Programa 5 (P5.1 + P5.2). Programa de ayuda a las actuaciones de rehabilitación a nivel de edificios y Programa de ayuda a la elaboración del libro del edificio existente y la redacción de proyecto de rehabilitación.",6,IF(A11="Programa 3 (P3) + Programa 5.1 (P5.1). Programa de ayuda a las actuaciones de rehabilitación a nivel de edificios y Programa de elaboración del Libro del Edificio Existente para la rehabilitación.",7,IF(A11="Programa 3 (P3) + Programa 5.2 (P5.2). Programa de ayuda a las actuaciones de rehabilitación a nivel de edificios y Programa de Redacción de Proyecto Técnico de Rehabilitación Integral de edificio.",8,IF(A11="Programa 4 (P4) + Programa 5.1 (P5.1). Programa de ayuda a las actuaciones de mejora de la eficiencia en viviendas y Programa de elaboración del Libro del Edificio Existente para la rehabilitación.",9,"ERROR")))))))))</f>
        <v>ERROR</v>
      </c>
      <c r="D11" s="30"/>
      <c r="E11" s="30"/>
    </row>
    <row r="12" spans="1:11" ht="15" customHeight="1" thickBot="1" x14ac:dyDescent="0.3">
      <c r="C12" s="45"/>
      <c r="D12" s="30"/>
      <c r="E12" s="30"/>
    </row>
    <row r="13" spans="1:11" ht="18.75" x14ac:dyDescent="0.25">
      <c r="A13" s="31" t="s">
        <v>32</v>
      </c>
      <c r="B13" s="32"/>
      <c r="C13" s="46"/>
      <c r="D13" s="30"/>
      <c r="E13" s="30"/>
      <c r="F13" s="22"/>
    </row>
    <row r="14" spans="1:11" ht="15" customHeight="1" x14ac:dyDescent="0.25">
      <c r="A14" s="53" t="s">
        <v>48</v>
      </c>
      <c r="B14" s="60">
        <v>0</v>
      </c>
      <c r="C14" s="46"/>
      <c r="D14" s="1"/>
      <c r="E14" s="30"/>
      <c r="F14" s="22"/>
    </row>
    <row r="15" spans="1:11" ht="15" customHeight="1" x14ac:dyDescent="0.25">
      <c r="A15" s="53" t="s">
        <v>33</v>
      </c>
      <c r="B15" s="60">
        <v>0</v>
      </c>
      <c r="C15" s="46"/>
      <c r="D15" s="1"/>
      <c r="E15" s="30"/>
      <c r="F15" s="22"/>
    </row>
    <row r="16" spans="1:11" ht="15" customHeight="1" thickBot="1" x14ac:dyDescent="0.3">
      <c r="A16" s="61" t="s">
        <v>34</v>
      </c>
      <c r="B16" s="62">
        <v>0</v>
      </c>
      <c r="C16" s="46"/>
      <c r="D16" s="1"/>
      <c r="E16" s="30"/>
      <c r="F16" s="22"/>
    </row>
    <row r="17" spans="1:6" ht="15" customHeight="1" thickBot="1" x14ac:dyDescent="0.3">
      <c r="C17" s="46"/>
      <c r="D17" s="1"/>
      <c r="E17" s="30"/>
      <c r="F17" s="22"/>
    </row>
    <row r="18" spans="1:6" ht="18.75" customHeight="1" thickBot="1" x14ac:dyDescent="0.3">
      <c r="A18" s="115" t="s">
        <v>31</v>
      </c>
      <c r="B18" s="116"/>
      <c r="C18" s="47"/>
      <c r="D18" s="1"/>
      <c r="E18" s="30"/>
      <c r="F18" s="22"/>
    </row>
    <row r="19" spans="1:6" ht="17.25" customHeight="1" x14ac:dyDescent="0.25">
      <c r="A19" s="33" t="s">
        <v>26</v>
      </c>
      <c r="B19" s="16" t="s">
        <v>23</v>
      </c>
      <c r="C19" s="46">
        <f>IF(B19="Elegir",0,IF(B19="P3 - Zona Climática C",1,IF(B19="P3 - Zona Climática D",2,IF(B19="P3 - Zona Climática E",3,IF(B19="P4",4)))))</f>
        <v>0</v>
      </c>
      <c r="D19" s="1"/>
      <c r="E19" s="30"/>
      <c r="F19" s="22"/>
    </row>
    <row r="20" spans="1:6" ht="15" customHeight="1" x14ac:dyDescent="0.25">
      <c r="A20" s="53" t="str">
        <f>IF(C19=1,"¿Cumple LAS DOS PRIMERAS de las siguientes condiciones?",IF(C19=2,"¿Cumple LAS DOS PRIMERAS de las siguientes condiciones?",IF(C19=3,"¿Cumple LAS DOS PRIMERAS de las siguientes condiciones?",IF(C19=4,"¿Cumple UNA de las siguientes condiciones?","Elegir"))))</f>
        <v>Elegir</v>
      </c>
      <c r="B20" s="70" t="str">
        <f>IF(AND(B19="P3 - Zona Climática C",B21="Sí",B22="Sí")," ",IF(AND(B19="P3 - Zona Climática D",B21="Sí",B22="Sí")," ",IF(AND(B19="P3 - Zona Climática E",B21="Sí",B22="Sí")," ",IF(AND(B19="P4",B21="Sí")," ",IF(AND(B19="P4",B22="Sí")," ",IF(AND(B19="P4",B23="Sí")," ","REVISAR VALORES"))))))</f>
        <v>REVISAR VALORES</v>
      </c>
      <c r="C20" s="46">
        <f>SUM(C21:C23)</f>
        <v>0</v>
      </c>
      <c r="D20" s="48"/>
      <c r="E20" s="30"/>
      <c r="F20" s="22"/>
    </row>
    <row r="21" spans="1:6" x14ac:dyDescent="0.25">
      <c r="A21" s="53" t="str">
        <f>IF(C19=1,"1. Reducción consumo energía primaria no renovable ≥ 30%",IF(C19=2,"1. Reducción consumo energía primaria no renovable ≥ 30%",IF(C19=3,"1. Reducción consumo energía primaria no renovable ≥ 30%",IF(C19=4,"1. Reducción consumo energía primaria no renovable ≥ 30%","Elegir"))))</f>
        <v>Elegir</v>
      </c>
      <c r="B21" s="57" t="s">
        <v>23</v>
      </c>
      <c r="C21" s="46">
        <f>IF(B21="Sí",1,0)</f>
        <v>0</v>
      </c>
      <c r="D21" s="14" t="s">
        <v>25</v>
      </c>
      <c r="E21" s="30"/>
      <c r="F21" s="22"/>
    </row>
    <row r="22" spans="1:6" ht="15" customHeight="1" x14ac:dyDescent="0.25">
      <c r="A22" s="58" t="str">
        <f>IF(C19=1,"2. Reducción demanda energética anual global calefacción-refrigeración ≥ 25%",IF(C19=2,"2. Reducción demanda energética anual global calefacción-refrigeración ≥ 35%",IF(C19=3,"2. Reducción demanda energética anual global calefacción-refrigeración ≥ 35%",IF(C19=4,"2. Reducción demanda energética anual global calefacción-refrigeración ≥ 7%","Elegir"))))</f>
        <v>Elegir</v>
      </c>
      <c r="B22" s="57" t="s">
        <v>23</v>
      </c>
      <c r="C22" s="46">
        <f t="shared" ref="C22:C23" si="0">IF(B22="Sí",1,0)</f>
        <v>0</v>
      </c>
      <c r="D22" s="1"/>
      <c r="E22" s="30"/>
      <c r="F22" s="22"/>
    </row>
    <row r="23" spans="1:6" ht="15" customHeight="1" thickBot="1" x14ac:dyDescent="0.3">
      <c r="A23" s="59" t="str">
        <f>IF(C19=1,"3. No procede",IF(C19=2,"3. No procede",IF(C19=3,"3. No procede",IF(C19=4,"3. Actuaciones sobre elementos envolvente térmica según tablas 3.1.1a y 3.1.3a CTE HE-1","Elegir"))))</f>
        <v>Elegir</v>
      </c>
      <c r="B23" s="49" t="s">
        <v>23</v>
      </c>
      <c r="C23" s="46">
        <f t="shared" si="0"/>
        <v>0</v>
      </c>
      <c r="D23" s="1"/>
      <c r="E23" s="30"/>
      <c r="F23" s="22"/>
    </row>
    <row r="24" spans="1:6" ht="17.25" customHeight="1" x14ac:dyDescent="0.25">
      <c r="A24" s="113" t="s">
        <v>35</v>
      </c>
      <c r="B24" s="114"/>
      <c r="C24" s="48" t="s">
        <v>2</v>
      </c>
      <c r="D24" s="1" t="s">
        <v>3</v>
      </c>
      <c r="E24" s="30"/>
      <c r="F24" s="22"/>
    </row>
    <row r="25" spans="1:6" ht="15" customHeight="1" x14ac:dyDescent="0.25">
      <c r="A25" s="53" t="s">
        <v>36</v>
      </c>
      <c r="B25" s="70" t="str">
        <f>IF(AND(C19=1,B26&gt;=C26,B27&gt;=C27)," ",IF(AND(C19=2,B26&gt;=C26,B27&gt;=C27)," ",IF(AND(C19=3,B26&gt;=C26,B27&gt;=C27)," ",IF(AND(C19=4,C21=1,B26&gt;=C26)," ",IF(AND(C19=4,C22=1,B27&gt;=C27)," ",IF(AND(C19=4,C23=1)," ","REVISAR VALORES"))))))</f>
        <v>REVISAR VALORES</v>
      </c>
      <c r="C25" s="48"/>
      <c r="D25" s="1"/>
      <c r="E25" s="71"/>
      <c r="F25" s="22"/>
    </row>
    <row r="26" spans="1:6" ht="15" customHeight="1" x14ac:dyDescent="0.25">
      <c r="A26" s="53" t="s">
        <v>37</v>
      </c>
      <c r="B26" s="50">
        <v>0</v>
      </c>
      <c r="C26" s="68">
        <v>0.3</v>
      </c>
      <c r="D26" s="14"/>
      <c r="E26" s="30"/>
      <c r="F26" s="22"/>
    </row>
    <row r="27" spans="1:6" ht="15" customHeight="1" thickBot="1" x14ac:dyDescent="0.3">
      <c r="A27" s="59" t="s">
        <v>38</v>
      </c>
      <c r="B27" s="51">
        <v>0</v>
      </c>
      <c r="C27" s="69" t="str">
        <f>IF(A22="2. Reducción demanda energética anual global calefacción-refrigeración ≥ 25%",0.25,IF(A22="2. Reducción demanda energética anual global calefacción-refrigeración ≥ 35%",0.35,IF(A22="2. Reducción demanda energética anual global calefacción-refrigeración ≥ 7%",0.07,"Elegir")))</f>
        <v>Elegir</v>
      </c>
      <c r="D27" s="1"/>
      <c r="E27" s="30"/>
      <c r="F27" s="22"/>
    </row>
    <row r="28" spans="1:6" ht="15" customHeight="1" thickBot="1" x14ac:dyDescent="0.3">
      <c r="C28" s="48"/>
      <c r="D28" s="1"/>
      <c r="E28" s="30"/>
      <c r="F28" s="22"/>
    </row>
    <row r="29" spans="1:6" ht="18.75" customHeight="1" thickBot="1" x14ac:dyDescent="0.3">
      <c r="A29" s="108" t="s">
        <v>46</v>
      </c>
      <c r="B29" s="109"/>
      <c r="C29" s="48"/>
      <c r="D29" s="1"/>
      <c r="E29" s="30"/>
      <c r="F29" s="22"/>
    </row>
    <row r="30" spans="1:6" ht="17.45" customHeight="1" x14ac:dyDescent="0.25">
      <c r="A30" s="34" t="s">
        <v>50</v>
      </c>
      <c r="B30" s="35" t="str">
        <f>IF(AND(C20&gt;1,C11=1),"RELLENAR",IF(AND(C20&gt;1,C11=6),"RELLENAR",IF(AND(C20&gt;1,C11=7),"RELLENAR",IF(AND(C20&gt;1,C11=8),"RELLENAR","NO RELLENAR"))))</f>
        <v>NO RELLENAR</v>
      </c>
      <c r="C30" s="48" t="s">
        <v>2</v>
      </c>
      <c r="D30" s="1" t="s">
        <v>3</v>
      </c>
      <c r="E30" s="30"/>
      <c r="F30" s="22"/>
    </row>
    <row r="31" spans="1:6" ht="15" customHeight="1" x14ac:dyDescent="0.25">
      <c r="A31" s="53" t="s">
        <v>47</v>
      </c>
      <c r="B31" s="10">
        <v>0</v>
      </c>
      <c r="C31" s="48"/>
      <c r="D31" s="1"/>
      <c r="E31" s="30"/>
      <c r="F31" s="22"/>
    </row>
    <row r="32" spans="1:6" ht="15" customHeight="1" x14ac:dyDescent="0.25">
      <c r="A32" s="53" t="s">
        <v>39</v>
      </c>
      <c r="B32" s="10">
        <v>0</v>
      </c>
      <c r="C32" s="48"/>
      <c r="D32" s="1"/>
      <c r="E32" s="30"/>
      <c r="F32" s="22"/>
    </row>
    <row r="33" spans="1:6" ht="15" customHeight="1" x14ac:dyDescent="0.25">
      <c r="A33" s="53" t="s">
        <v>68</v>
      </c>
      <c r="B33" s="66" t="s">
        <v>23</v>
      </c>
      <c r="C33" s="65">
        <f>IF(B33="Sí",1000*B15,0)</f>
        <v>0</v>
      </c>
      <c r="D33" s="52"/>
      <c r="E33" s="30"/>
      <c r="F33" s="22"/>
    </row>
    <row r="34" spans="1:6" ht="15" customHeight="1" x14ac:dyDescent="0.25">
      <c r="A34" s="53" t="s">
        <v>70</v>
      </c>
      <c r="B34" s="67">
        <v>0</v>
      </c>
      <c r="C34" s="54">
        <f>B34</f>
        <v>0</v>
      </c>
      <c r="D34" s="52"/>
      <c r="E34" s="30"/>
      <c r="F34" s="22"/>
    </row>
    <row r="35" spans="1:6" ht="15" customHeight="1" x14ac:dyDescent="0.25">
      <c r="A35" s="53" t="s">
        <v>69</v>
      </c>
      <c r="B35" s="63">
        <f>MIN(C33:C35)</f>
        <v>0</v>
      </c>
      <c r="C35" s="54">
        <v>12000</v>
      </c>
      <c r="D35" s="52"/>
      <c r="E35" s="30"/>
      <c r="F35" s="22"/>
    </row>
    <row r="36" spans="1:6" ht="15" customHeight="1" x14ac:dyDescent="0.25">
      <c r="A36" s="53" t="s">
        <v>67</v>
      </c>
      <c r="B36" s="63" t="str">
        <f>IF(C11=6,B32+B57,IF(C11=8,B32+B57,"No procede"))</f>
        <v>No procede</v>
      </c>
      <c r="C36" s="48"/>
      <c r="D36" s="1"/>
      <c r="E36" s="30"/>
      <c r="F36" s="22"/>
    </row>
    <row r="37" spans="1:6" ht="15" customHeight="1" x14ac:dyDescent="0.25">
      <c r="A37" s="53" t="s">
        <v>40</v>
      </c>
      <c r="B37" s="64" t="str">
        <f>IF(B26&gt;=60%,"80,00%",IF(B26&gt;=45%,"65,00%",IF(B26&gt;=30%,"40,00%","0,00%")))</f>
        <v>0,00%</v>
      </c>
      <c r="C37" s="48">
        <f>COUNTIF(B30,"Sí")</f>
        <v>0</v>
      </c>
      <c r="D37" s="14" t="s">
        <v>25</v>
      </c>
      <c r="E37" s="30"/>
      <c r="F37" s="22"/>
    </row>
    <row r="38" spans="1:6" ht="15" customHeight="1" x14ac:dyDescent="0.25">
      <c r="A38" s="53" t="s">
        <v>42</v>
      </c>
      <c r="B38" s="63">
        <f>IF(C11=6,B36*B37,IF(C11=8,B36*B37,B32*B37))</f>
        <v>0</v>
      </c>
      <c r="C38" s="48"/>
      <c r="D38" s="14"/>
      <c r="E38" s="30"/>
      <c r="F38" s="22"/>
    </row>
    <row r="39" spans="1:6" ht="15" customHeight="1" x14ac:dyDescent="0.25">
      <c r="A39" s="58" t="s">
        <v>71</v>
      </c>
      <c r="B39" s="17">
        <f>IF(B37="40,00%",6300*B15+56*B16,IF(B37="65,00%",11600*B15+104*B16,IF(B37="80,00%",18800*B15+168*B16,0)))</f>
        <v>0</v>
      </c>
      <c r="C39" s="48"/>
      <c r="D39" s="1"/>
      <c r="E39" s="30"/>
      <c r="F39" s="22"/>
    </row>
    <row r="40" spans="1:6" ht="15" customHeight="1" x14ac:dyDescent="0.25">
      <c r="A40" s="58" t="s">
        <v>66</v>
      </c>
      <c r="B40" s="63" t="str">
        <f>IF(C11=6,MIN(B38:B39)-B60,IF(C11=8,MIN(B38:B39)-B60,"No procede"))</f>
        <v>No procede</v>
      </c>
      <c r="C40" s="48"/>
      <c r="D40" s="1"/>
      <c r="E40" s="30"/>
      <c r="F40" s="22"/>
    </row>
    <row r="41" spans="1:6" ht="15" customHeight="1" thickBot="1" x14ac:dyDescent="0.3">
      <c r="A41" s="55" t="s">
        <v>43</v>
      </c>
      <c r="B41" s="56">
        <f>MIN(B38:B40)+B35</f>
        <v>0</v>
      </c>
      <c r="C41" s="48"/>
      <c r="D41" s="1"/>
      <c r="E41" s="30"/>
      <c r="F41" s="22"/>
    </row>
    <row r="42" spans="1:6" ht="17.45" customHeight="1" x14ac:dyDescent="0.25">
      <c r="A42" s="34" t="s">
        <v>51</v>
      </c>
      <c r="B42" s="35" t="str">
        <f>IF(AND(C20&gt;0,C11=2),"RELLENAR",IF(AND(C20&gt;0,C11=9),"RELLENAR","NO RELLENAR"))</f>
        <v>NO RELLENAR</v>
      </c>
      <c r="C42" s="48" t="s">
        <v>2</v>
      </c>
      <c r="D42" s="1" t="s">
        <v>3</v>
      </c>
      <c r="E42" s="30"/>
      <c r="F42" s="22"/>
    </row>
    <row r="43" spans="1:6" ht="15" customHeight="1" x14ac:dyDescent="0.25">
      <c r="A43" s="53" t="s">
        <v>47</v>
      </c>
      <c r="B43" s="10">
        <v>0</v>
      </c>
      <c r="C43" s="48"/>
      <c r="D43" s="52"/>
      <c r="E43" s="30"/>
      <c r="F43" s="22"/>
    </row>
    <row r="44" spans="1:6" ht="15" customHeight="1" x14ac:dyDescent="0.25">
      <c r="A44" s="53" t="s">
        <v>39</v>
      </c>
      <c r="B44" s="10">
        <v>0</v>
      </c>
      <c r="C44" s="48"/>
      <c r="D44" s="1"/>
      <c r="E44" s="30"/>
      <c r="F44" s="22"/>
    </row>
    <row r="45" spans="1:6" ht="15" customHeight="1" x14ac:dyDescent="0.25">
      <c r="A45" s="53" t="s">
        <v>40</v>
      </c>
      <c r="B45" s="36">
        <v>0.4</v>
      </c>
      <c r="C45" s="48">
        <f>COUNTIF(B42,"Sí")</f>
        <v>0</v>
      </c>
      <c r="D45" s="14" t="s">
        <v>25</v>
      </c>
      <c r="E45" s="30"/>
      <c r="F45" s="22"/>
    </row>
    <row r="46" spans="1:6" ht="15" customHeight="1" x14ac:dyDescent="0.25">
      <c r="A46" s="53" t="s">
        <v>42</v>
      </c>
      <c r="B46" s="63">
        <f>B44*B45</f>
        <v>0</v>
      </c>
      <c r="C46" s="48"/>
      <c r="D46" s="14"/>
      <c r="E46" s="30"/>
      <c r="F46" s="22"/>
    </row>
    <row r="47" spans="1:6" ht="15" customHeight="1" x14ac:dyDescent="0.25">
      <c r="A47" s="58" t="s">
        <v>41</v>
      </c>
      <c r="B47" s="17">
        <v>3000</v>
      </c>
      <c r="C47" s="48"/>
      <c r="D47" s="1"/>
      <c r="E47" s="30"/>
      <c r="F47" s="22"/>
    </row>
    <row r="48" spans="1:6" ht="15" customHeight="1" thickBot="1" x14ac:dyDescent="0.3">
      <c r="A48" s="55" t="s">
        <v>54</v>
      </c>
      <c r="B48" s="56">
        <f>IF(B44&lt;1000,0,MIN(B46,B47))</f>
        <v>0</v>
      </c>
      <c r="C48" s="48"/>
      <c r="D48" s="1"/>
      <c r="E48" s="30"/>
      <c r="F48" s="22"/>
    </row>
    <row r="49" spans="1:6" ht="17.45" customHeight="1" x14ac:dyDescent="0.25">
      <c r="A49" s="34" t="s">
        <v>52</v>
      </c>
      <c r="B49" s="35" t="str">
        <f>IF(AND(B14&lt;2000,C11=3),"RELLENAR",IF(AND(B14&lt;2000,C11=4),"RELLENAR",IF(AND(B14&lt;2000,C11=6),"RELLENAR",IF(AND(B14&lt;2000,C11=7),"RELLENAR",IF(AND(B14&lt;2000,C11=9),"RELLENAR","NO RELLENAR")))))</f>
        <v>NO RELLENAR</v>
      </c>
      <c r="C49" s="48" t="s">
        <v>2</v>
      </c>
      <c r="D49" s="1" t="s">
        <v>3</v>
      </c>
      <c r="E49" s="30"/>
      <c r="F49" s="22"/>
    </row>
    <row r="50" spans="1:6" ht="15" customHeight="1" x14ac:dyDescent="0.25">
      <c r="A50" s="53" t="s">
        <v>65</v>
      </c>
      <c r="B50" s="10">
        <v>0</v>
      </c>
      <c r="C50" s="48"/>
      <c r="D50" s="1"/>
      <c r="E50" s="30"/>
      <c r="F50" s="22"/>
    </row>
    <row r="51" spans="1:6" ht="15" customHeight="1" x14ac:dyDescent="0.25">
      <c r="A51" s="53" t="s">
        <v>49</v>
      </c>
      <c r="B51" s="57" t="s">
        <v>23</v>
      </c>
      <c r="C51" s="48">
        <f>COUNTIF(B49,"Sí")</f>
        <v>0</v>
      </c>
      <c r="D51" s="14" t="s">
        <v>25</v>
      </c>
      <c r="E51" s="30"/>
      <c r="F51" s="22"/>
    </row>
    <row r="52" spans="1:6" ht="15" customHeight="1" x14ac:dyDescent="0.25">
      <c r="A52" s="53" t="s">
        <v>60</v>
      </c>
      <c r="B52" s="63">
        <f>IF(B15&gt;=21,(1100+40*B15),IF(B15&gt;=1,(700+60*B15),0))</f>
        <v>0</v>
      </c>
      <c r="C52" s="48"/>
      <c r="D52" s="14"/>
      <c r="E52" s="30"/>
      <c r="F52" s="22"/>
    </row>
    <row r="53" spans="1:6" ht="15" customHeight="1" x14ac:dyDescent="0.25">
      <c r="A53" s="53" t="s">
        <v>61</v>
      </c>
      <c r="B53" s="63">
        <f>IF(B51="Sí",B52*1.5,B52)</f>
        <v>0</v>
      </c>
      <c r="C53" s="48"/>
      <c r="D53" s="14"/>
      <c r="E53" s="30"/>
      <c r="F53" s="22"/>
    </row>
    <row r="54" spans="1:6" ht="15" customHeight="1" x14ac:dyDescent="0.25">
      <c r="A54" s="58" t="s">
        <v>62</v>
      </c>
      <c r="B54" s="17">
        <f>IF(B52&gt;0,3500*1.5,3500)</f>
        <v>3500</v>
      </c>
      <c r="C54" s="48"/>
      <c r="D54" s="1"/>
      <c r="E54" s="30"/>
      <c r="F54" s="22"/>
    </row>
    <row r="55" spans="1:6" ht="15" customHeight="1" thickBot="1" x14ac:dyDescent="0.3">
      <c r="A55" s="55" t="s">
        <v>55</v>
      </c>
      <c r="B55" s="56">
        <f>IF(B51="Sí",MIN(B50,B53:B54),MIN(B50,B52:B54))</f>
        <v>0</v>
      </c>
      <c r="C55" s="48"/>
      <c r="D55" s="1"/>
      <c r="E55" s="30"/>
      <c r="F55" s="22"/>
    </row>
    <row r="56" spans="1:6" ht="17.45" customHeight="1" x14ac:dyDescent="0.25">
      <c r="A56" s="34" t="s">
        <v>53</v>
      </c>
      <c r="B56" s="35" t="str">
        <f>IF(AND(B14&lt;2000,C11=3),"RELLENAR",IF(AND(B14&lt;2000,C11=5),"RELLENAR",IF(AND(B14&lt;2000,C11=6),"RELLENAR",IF(AND(B14&lt;2000,C11=8),"RELLENAR","NO RELLENAR"))))</f>
        <v>NO RELLENAR</v>
      </c>
      <c r="C56" s="48" t="s">
        <v>2</v>
      </c>
      <c r="D56" s="1" t="s">
        <v>3</v>
      </c>
      <c r="E56" s="30"/>
      <c r="F56" s="22"/>
    </row>
    <row r="57" spans="1:6" ht="15" customHeight="1" x14ac:dyDescent="0.25">
      <c r="A57" s="53" t="s">
        <v>63</v>
      </c>
      <c r="B57" s="10">
        <v>0</v>
      </c>
      <c r="C57" s="48"/>
      <c r="D57" s="1"/>
      <c r="E57" s="30"/>
      <c r="F57" s="22"/>
    </row>
    <row r="58" spans="1:6" ht="15" customHeight="1" x14ac:dyDescent="0.25">
      <c r="A58" s="53" t="s">
        <v>60</v>
      </c>
      <c r="B58" s="63">
        <f>IF(B15&gt;=21,(12000+300*B15),IF(B15&gt;=1,(4000+700*B15),0))</f>
        <v>0</v>
      </c>
      <c r="C58" s="48"/>
      <c r="D58" s="14"/>
      <c r="E58" s="30"/>
      <c r="F58" s="22"/>
    </row>
    <row r="59" spans="1:6" ht="15" customHeight="1" x14ac:dyDescent="0.25">
      <c r="A59" s="58" t="s">
        <v>64</v>
      </c>
      <c r="B59" s="17">
        <v>30000</v>
      </c>
      <c r="C59" s="48"/>
      <c r="D59" s="1"/>
      <c r="E59" s="30"/>
      <c r="F59" s="22"/>
    </row>
    <row r="60" spans="1:6" ht="15" customHeight="1" thickBot="1" x14ac:dyDescent="0.3">
      <c r="A60" s="55" t="s">
        <v>56</v>
      </c>
      <c r="B60" s="56">
        <f>MIN(B57:B59)</f>
        <v>0</v>
      </c>
      <c r="C60" s="48"/>
      <c r="D60" s="1"/>
      <c r="E60" s="30"/>
      <c r="F60" s="22"/>
    </row>
    <row r="61" spans="1:6" ht="17.25" customHeight="1" x14ac:dyDescent="0.25">
      <c r="A61" s="37" t="s">
        <v>59</v>
      </c>
      <c r="B61" s="18">
        <f>IF(C11=1,B31+B34,IF(C11=2,B43,IF(C11=3,B50+B57,IF(C11=4,B50,IF(C11=5,B57,IF(C11=6,B31+B34+B50+B57,IF(C11=7,B31+B34+B50,IF(C11=8,B31+B34+B57,IF(C11=9,B43+B50,0)))))))))</f>
        <v>0</v>
      </c>
      <c r="C61" s="48"/>
      <c r="D61" s="1"/>
      <c r="E61" s="30"/>
      <c r="F61" s="22"/>
    </row>
    <row r="62" spans="1:6" ht="17.25" customHeight="1" x14ac:dyDescent="0.25">
      <c r="A62" s="38" t="s">
        <v>58</v>
      </c>
      <c r="B62" s="20">
        <f>IF(C11=1,B32+B34,IF(C11=2,B44,IF(C11=3,B50+B57,IF(C11=4,B50,IF(C11=5,B57,IF(C11=6,B32+B34+B50+B57,IF(C11=7,B32+B34+B50,IF(C11=8,B32+B34+B57,IF(C11=9,B44+B50,0)))))))))</f>
        <v>0</v>
      </c>
      <c r="C62" s="48"/>
      <c r="D62" s="1"/>
      <c r="E62" s="30"/>
      <c r="F62" s="22"/>
    </row>
    <row r="63" spans="1:6" ht="17.25" customHeight="1" thickBot="1" x14ac:dyDescent="0.3">
      <c r="A63" s="39" t="s">
        <v>57</v>
      </c>
      <c r="B63" s="19">
        <f>IF(C11=1,B41,IF(C11=2,B48,IF(C11=3,B55+B60,IF(C11=4,B55,IF(C11=5,B60,IF(C11=6,B41+B55+B60,IF(C11=7,B41+B55,IF(C11=8,B41+B60,IF(C11=9,B48+B55,0)))))))))</f>
        <v>0</v>
      </c>
      <c r="C63" s="48">
        <f>IF(B63="NO PROCEDE",1,2)</f>
        <v>2</v>
      </c>
      <c r="D63" s="48"/>
      <c r="E63" s="30"/>
      <c r="F63" s="22"/>
    </row>
    <row r="64" spans="1:6" ht="36" customHeight="1" x14ac:dyDescent="0.25">
      <c r="A64" s="107" t="s">
        <v>98</v>
      </c>
      <c r="B64" s="107"/>
    </row>
    <row r="66" spans="1:1" ht="18" x14ac:dyDescent="0.25">
      <c r="A66" s="40"/>
    </row>
  </sheetData>
  <sheetProtection algorithmName="SHA-512" hashValue="r/1AqD/BhiDf0AF5NXrpADRnswIwFs9LBkrIAigvSQ3ajUCnY57E7UwItXMthJ1Pnv/bcu+5IyqS8nhF8BG4Kg==" saltValue="llLqTmNYNyRzB0G8oi8SQw==" spinCount="100000" sheet="1" objects="1" scenarios="1" selectLockedCells="1"/>
  <mergeCells count="10">
    <mergeCell ref="A64:B64"/>
    <mergeCell ref="A29:B29"/>
    <mergeCell ref="A3:B3"/>
    <mergeCell ref="A5:B5"/>
    <mergeCell ref="A24:B24"/>
    <mergeCell ref="A18:B18"/>
    <mergeCell ref="A7:B7"/>
    <mergeCell ref="A8:B8"/>
    <mergeCell ref="A10:B10"/>
    <mergeCell ref="A11:B11"/>
  </mergeCells>
  <conditionalFormatting sqref="B31">
    <cfRule type="expression" dxfId="39" priority="56">
      <formula>B30="NO RELLENAR"</formula>
    </cfRule>
  </conditionalFormatting>
  <conditionalFormatting sqref="B32">
    <cfRule type="expression" dxfId="38" priority="55">
      <formula>B30="NO RELLENAR"</formula>
    </cfRule>
  </conditionalFormatting>
  <conditionalFormatting sqref="B30">
    <cfRule type="expression" dxfId="37" priority="45">
      <formula>B30="RELLENAR"</formula>
    </cfRule>
    <cfRule type="expression" dxfId="36" priority="54">
      <formula>B30="NO RELLENAR"</formula>
    </cfRule>
  </conditionalFormatting>
  <conditionalFormatting sqref="B43">
    <cfRule type="expression" dxfId="35" priority="53">
      <formula>B42="NO RELLENAR"</formula>
    </cfRule>
  </conditionalFormatting>
  <conditionalFormatting sqref="B42">
    <cfRule type="expression" dxfId="34" priority="44">
      <formula>B42="RELLENAR"</formula>
    </cfRule>
    <cfRule type="expression" dxfId="33" priority="51">
      <formula>B42="NO RELLENAR"</formula>
    </cfRule>
  </conditionalFormatting>
  <conditionalFormatting sqref="B49">
    <cfRule type="expression" dxfId="32" priority="43">
      <formula>B49="RELLENAR"</formula>
    </cfRule>
    <cfRule type="expression" dxfId="31" priority="49">
      <formula>B49="NO SUBVENCIONABLE"</formula>
    </cfRule>
    <cfRule type="expression" dxfId="30" priority="50">
      <formula>B49="NO RELLENAR"</formula>
    </cfRule>
  </conditionalFormatting>
  <conditionalFormatting sqref="B56">
    <cfRule type="expression" dxfId="29" priority="41">
      <formula>B56="NO RELLENAR"</formula>
    </cfRule>
    <cfRule type="expression" dxfId="28" priority="42">
      <formula>B56="RELLENAR"</formula>
    </cfRule>
    <cfRule type="expression" dxfId="27" priority="46">
      <formula>B56="NO SUBVENCIONABLE"</formula>
    </cfRule>
  </conditionalFormatting>
  <conditionalFormatting sqref="B50">
    <cfRule type="expression" dxfId="26" priority="36">
      <formula>B49="NO SUBVENCIONABLE"</formula>
    </cfRule>
    <cfRule type="expression" dxfId="25" priority="40">
      <formula>B49="NO RELLENAR"</formula>
    </cfRule>
  </conditionalFormatting>
  <conditionalFormatting sqref="B51">
    <cfRule type="expression" dxfId="24" priority="35">
      <formula>B49="NO SUBVENCIONABLE"</formula>
    </cfRule>
    <cfRule type="expression" dxfId="23" priority="39">
      <formula>B49="NO RELLENAR"</formula>
    </cfRule>
  </conditionalFormatting>
  <conditionalFormatting sqref="B57">
    <cfRule type="expression" dxfId="22" priority="34">
      <formula>B56="NO SUBVENCIONABLE"</formula>
    </cfRule>
    <cfRule type="expression" dxfId="21" priority="37">
      <formula>B56="NO RELLENAR"</formula>
    </cfRule>
  </conditionalFormatting>
  <conditionalFormatting sqref="B23">
    <cfRule type="expression" dxfId="20" priority="5">
      <formula>$B$20="REVISAR VALORES"</formula>
    </cfRule>
    <cfRule type="expression" dxfId="19" priority="33">
      <formula>B19="P4"</formula>
    </cfRule>
  </conditionalFormatting>
  <conditionalFormatting sqref="B26">
    <cfRule type="expression" dxfId="18" priority="11">
      <formula>B25="REVISAR VALORES"</formula>
    </cfRule>
    <cfRule type="expression" dxfId="17" priority="20">
      <formula>B21="No"</formula>
    </cfRule>
    <cfRule type="expression" dxfId="16" priority="32">
      <formula>B21="Sí"</formula>
    </cfRule>
  </conditionalFormatting>
  <conditionalFormatting sqref="B27">
    <cfRule type="expression" dxfId="15" priority="10">
      <formula>B25="REVISAR VALORES"</formula>
    </cfRule>
    <cfRule type="expression" dxfId="14" priority="19">
      <formula>B22="No"</formula>
    </cfRule>
    <cfRule type="expression" dxfId="13" priority="31">
      <formula>B22="Sí"</formula>
    </cfRule>
  </conditionalFormatting>
  <conditionalFormatting sqref="B44">
    <cfRule type="expression" dxfId="12" priority="25">
      <formula>B42="NO RELLENAR"</formula>
    </cfRule>
  </conditionalFormatting>
  <conditionalFormatting sqref="B33">
    <cfRule type="expression" dxfId="11" priority="24">
      <formula>B30="RELLENAR"</formula>
    </cfRule>
  </conditionalFormatting>
  <conditionalFormatting sqref="B34">
    <cfRule type="expression" dxfId="10" priority="23">
      <formula>B33="Sí"</formula>
    </cfRule>
  </conditionalFormatting>
  <conditionalFormatting sqref="B25">
    <cfRule type="expression" dxfId="9" priority="18">
      <formula>$B$25="REVISAR VALORES"</formula>
    </cfRule>
  </conditionalFormatting>
  <conditionalFormatting sqref="B20">
    <cfRule type="expression" dxfId="8" priority="12">
      <formula>$B$25="REVISAR VALORES"</formula>
    </cfRule>
  </conditionalFormatting>
  <conditionalFormatting sqref="B21">
    <cfRule type="expression" dxfId="7" priority="7">
      <formula>$B$20="REVISAR VALORES"</formula>
    </cfRule>
    <cfRule type="expression" dxfId="6" priority="9">
      <formula>$B$19="Elegir"</formula>
    </cfRule>
  </conditionalFormatting>
  <conditionalFormatting sqref="B22">
    <cfRule type="expression" dxfId="5" priority="6">
      <formula>$B$20="REVISAR VALORES"</formula>
    </cfRule>
    <cfRule type="expression" dxfId="4" priority="8">
      <formula>$B$19="Elegir"</formula>
    </cfRule>
  </conditionalFormatting>
  <conditionalFormatting sqref="B19">
    <cfRule type="expression" dxfId="3" priority="1">
      <formula>C11=5</formula>
    </cfRule>
    <cfRule type="expression" dxfId="2" priority="2">
      <formula>C11=4</formula>
    </cfRule>
    <cfRule type="expression" dxfId="1" priority="3">
      <formula>C11=3</formula>
    </cfRule>
    <cfRule type="expression" dxfId="0" priority="4">
      <formula>C11="ERROR"</formula>
    </cfRule>
  </conditionalFormatting>
  <dataValidations xWindow="945" yWindow="666" count="3">
    <dataValidation showInputMessage="1" showErrorMessage="1" sqref="B35"/>
    <dataValidation operator="greaterThan" allowBlank="1" showInputMessage="1" showErrorMessage="1" error="El coste mínimo de la actuación ha de ser igual o superior a 1.000 euros por vivienda." prompt="El coste mínimo de la actuación ha de ser igual o superior a 1.000 euros por vivienda." sqref="B44"/>
    <dataValidation operator="greaterThan" allowBlank="1" showInputMessage="1" showErrorMessage="1" error="El coste mínimo de la actuación ha de ser igual o superior a 1.000 euros por vivienda." prompt="El coste mínimo de la actuación ha de ser igual o superior a 1.000 euros por vivienda." sqref="B43"/>
  </dataValidations>
  <pageMargins left="0.7" right="0.7" top="0.75" bottom="0.75" header="0.3" footer="0.3"/>
  <pageSetup paperSize="9" scale="67" orientation="portrait" r:id="rId1"/>
  <drawing r:id="rId2"/>
  <legacyDrawing r:id="rId3"/>
  <extLst>
    <ext xmlns:x14="http://schemas.microsoft.com/office/spreadsheetml/2009/9/main" uri="{CCE6A557-97BC-4b89-ADB6-D9C93CAAB3DF}">
      <x14:dataValidations xmlns:xm="http://schemas.microsoft.com/office/excel/2006/main" xWindow="945" yWindow="666" count="4">
        <x14:dataValidation type="list" allowBlank="1" showInputMessage="1" showErrorMessage="1">
          <x14:formula1>
            <xm:f>Full1!$A$2:$A$4</xm:f>
          </x14:formula1>
          <xm:sqref>B21:B23 B51 B33</xm:sqref>
        </x14:dataValidation>
        <x14:dataValidation type="list" allowBlank="1" showInputMessage="1" showErrorMessage="1">
          <x14:formula1>
            <xm:f>Full1!$A$7:$A$11</xm:f>
          </x14:formula1>
          <xm:sqref>B19</xm:sqref>
        </x14:dataValidation>
        <x14:dataValidation type="list" allowBlank="1" showInputMessage="1" showErrorMessage="1">
          <x14:formula1>
            <xm:f>Full1!$A$26:$A$32</xm:f>
          </x14:formula1>
          <xm:sqref>A8:B8</xm:sqref>
        </x14:dataValidation>
        <x14:dataValidation type="list" allowBlank="1" showInputMessage="1" showErrorMessage="1">
          <x14:formula1>
            <xm:f>Full1!$A$14:$A$23</xm:f>
          </x14:formula1>
          <xm:sqref>A11:B11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showGridLines="0" zoomScaleNormal="100" workbookViewId="0">
      <selection activeCell="A8" sqref="A8:B8"/>
    </sheetView>
  </sheetViews>
  <sheetFormatPr baseColWidth="10" defaultColWidth="8.85546875" defaultRowHeight="15" x14ac:dyDescent="0.25"/>
  <cols>
    <col min="1" max="1" width="100.7109375" style="21" customWidth="1" collapsed="1"/>
    <col min="2" max="2" width="26.7109375" style="21" customWidth="1" collapsed="1"/>
    <col min="3" max="3" width="13.7109375" style="85" hidden="1" customWidth="1" collapsed="1"/>
    <col min="4" max="4" width="18.28515625" style="41" customWidth="1" collapsed="1"/>
    <col min="5" max="5" width="20.7109375" style="21" customWidth="1" collapsed="1"/>
    <col min="6" max="6" width="20.140625" style="21" customWidth="1" collapsed="1"/>
    <col min="7" max="7" width="21" style="21" customWidth="1" collapsed="1"/>
    <col min="8" max="8" width="13.7109375" style="21" customWidth="1" collapsed="1"/>
    <col min="9" max="9" width="10.42578125" style="21" customWidth="1" collapsed="1"/>
    <col min="10" max="10" width="11.7109375" style="21" customWidth="1" collapsed="1"/>
    <col min="11" max="11" width="8.85546875" style="21" collapsed="1"/>
    <col min="12" max="12" width="8.85546875" style="21"/>
    <col min="13" max="16384" width="8.85546875" style="21" collapsed="1"/>
  </cols>
  <sheetData>
    <row r="2" spans="1:10" ht="51" customHeight="1" x14ac:dyDescent="0.25">
      <c r="G2" s="23"/>
      <c r="H2" s="23"/>
      <c r="I2" s="24"/>
      <c r="J2" s="24"/>
    </row>
    <row r="3" spans="1:10" ht="51" customHeight="1" x14ac:dyDescent="0.25">
      <c r="A3" s="123" t="s">
        <v>73</v>
      </c>
      <c r="B3" s="123"/>
      <c r="C3" s="93"/>
      <c r="D3" s="42"/>
      <c r="E3" s="25"/>
      <c r="F3" s="26"/>
      <c r="G3" s="27"/>
      <c r="H3" s="27"/>
      <c r="I3" s="28"/>
      <c r="J3" s="28"/>
    </row>
    <row r="4" spans="1:10" ht="21" x14ac:dyDescent="0.25">
      <c r="A4" s="72" t="s">
        <v>72</v>
      </c>
      <c r="B4" s="73"/>
      <c r="C4" s="94"/>
      <c r="D4" s="43"/>
      <c r="E4" s="29"/>
    </row>
    <row r="5" spans="1:10" ht="21" x14ac:dyDescent="0.25">
      <c r="A5" s="111" t="s">
        <v>45</v>
      </c>
      <c r="B5" s="112"/>
    </row>
    <row r="6" spans="1:10" ht="15" customHeight="1" thickBot="1" x14ac:dyDescent="0.3"/>
    <row r="7" spans="1:10" ht="18.75" x14ac:dyDescent="0.25">
      <c r="A7" s="117" t="s">
        <v>5</v>
      </c>
      <c r="B7" s="118"/>
    </row>
    <row r="8" spans="1:10" ht="36" customHeight="1" thickBot="1" x14ac:dyDescent="0.3">
      <c r="A8" s="119" t="s">
        <v>23</v>
      </c>
      <c r="B8" s="120"/>
    </row>
    <row r="9" spans="1:10" ht="15" customHeight="1" thickBot="1" x14ac:dyDescent="0.3"/>
    <row r="10" spans="1:10" ht="18.75" customHeight="1" x14ac:dyDescent="0.25">
      <c r="A10" s="117" t="s">
        <v>76</v>
      </c>
      <c r="B10" s="118"/>
    </row>
    <row r="11" spans="1:10" ht="36" customHeight="1" thickBot="1" x14ac:dyDescent="0.3">
      <c r="A11" s="119" t="s">
        <v>23</v>
      </c>
      <c r="B11" s="120"/>
      <c r="C11" s="85" t="str">
        <f>IF(A11="1. Vivienda en edificio plurifamiliar",1,IF(A11="2. Vivienda unifamiliar",2,"ERROR"))</f>
        <v>ERROR</v>
      </c>
    </row>
    <row r="12" spans="1:10" ht="15" customHeight="1" thickBot="1" x14ac:dyDescent="0.3"/>
    <row r="13" spans="1:10" ht="18.75" x14ac:dyDescent="0.25">
      <c r="A13" s="74" t="s">
        <v>120</v>
      </c>
      <c r="B13" s="32"/>
      <c r="E13" s="22"/>
    </row>
    <row r="14" spans="1:10" ht="15" customHeight="1" x14ac:dyDescent="0.25">
      <c r="A14" s="53" t="s">
        <v>121</v>
      </c>
      <c r="B14" s="82">
        <v>1</v>
      </c>
      <c r="C14" s="86"/>
      <c r="E14" s="22"/>
    </row>
    <row r="15" spans="1:10" ht="15" hidden="1" customHeight="1" x14ac:dyDescent="0.25">
      <c r="A15" s="53" t="s">
        <v>84</v>
      </c>
      <c r="B15" s="83">
        <f>LOOKUP(B14,Full1!A40:A44,Full1!B40:B44)</f>
        <v>1</v>
      </c>
      <c r="C15" s="86"/>
      <c r="E15" s="22"/>
    </row>
    <row r="16" spans="1:10" ht="15" customHeight="1" x14ac:dyDescent="0.25">
      <c r="A16" s="53" t="s">
        <v>74</v>
      </c>
      <c r="B16" s="10">
        <v>0</v>
      </c>
      <c r="C16" s="86"/>
      <c r="E16" s="22"/>
    </row>
    <row r="17" spans="1:5" ht="99.95" customHeight="1" thickBot="1" x14ac:dyDescent="0.3">
      <c r="A17" s="121" t="s">
        <v>122</v>
      </c>
      <c r="B17" s="122"/>
      <c r="C17" s="86"/>
      <c r="E17" s="22"/>
    </row>
    <row r="18" spans="1:5" ht="15" customHeight="1" thickBot="1" x14ac:dyDescent="0.3"/>
    <row r="19" spans="1:5" ht="18.75" x14ac:dyDescent="0.25">
      <c r="A19" s="74" t="s">
        <v>75</v>
      </c>
      <c r="B19" s="32"/>
      <c r="E19" s="22"/>
    </row>
    <row r="20" spans="1:5" ht="21" customHeight="1" x14ac:dyDescent="0.25">
      <c r="A20" s="92" t="s">
        <v>90</v>
      </c>
      <c r="B20" s="89" t="e">
        <f>IF(OR(B21=0,B22=0,B23=0),"REVISAR PESTAÑA 1","")</f>
        <v>#DIV/0!</v>
      </c>
      <c r="E20" s="22"/>
    </row>
    <row r="21" spans="1:5" ht="15" customHeight="1" x14ac:dyDescent="0.25">
      <c r="A21" s="53" t="s">
        <v>86</v>
      </c>
      <c r="B21" s="90">
        <f>'1. Calculadora de AYUDA - RR345'!B26</f>
        <v>0</v>
      </c>
      <c r="C21" s="85" t="str">
        <f>IF(AND(B21&gt;=0.3,B21&lt;0.45),1,IF(AND(B21&gt;=0.45,B21&lt;0.6),2,IF(B21&gt;=0.6,3,"ERROR")))</f>
        <v>ERROR</v>
      </c>
      <c r="E21" s="22"/>
    </row>
    <row r="22" spans="1:5" ht="15" customHeight="1" x14ac:dyDescent="0.25">
      <c r="A22" s="53" t="s">
        <v>88</v>
      </c>
      <c r="B22" s="17" t="e">
        <f>('1. Calculadora de AYUDA - RR345'!B32+'1. Calculadora de AYUDA - RR345'!B34+'1. Calculadora de AYUDA - RR345'!B57)/'1. Calculadora de AYUDA - RR345'!B15</f>
        <v>#DIV/0!</v>
      </c>
      <c r="C22" s="86"/>
      <c r="E22" s="22"/>
    </row>
    <row r="23" spans="1:5" ht="15" customHeight="1" thickBot="1" x14ac:dyDescent="0.3">
      <c r="A23" s="61" t="s">
        <v>89</v>
      </c>
      <c r="B23" s="91" t="e">
        <f>'1. Calculadora de AYUDA - RR345'!B41/'1. Calculadora de AYUDA - RR345'!B15+'1. Calculadora de AYUDA - RR345'!B60/'1. Calculadora de AYUDA - RR345'!B15</f>
        <v>#DIV/0!</v>
      </c>
      <c r="C23" s="86"/>
      <c r="E23" s="22"/>
    </row>
    <row r="24" spans="1:5" ht="15" customHeight="1" thickBot="1" x14ac:dyDescent="0.3">
      <c r="C24" s="86"/>
      <c r="E24" s="22"/>
    </row>
    <row r="25" spans="1:5" ht="17.25" customHeight="1" x14ac:dyDescent="0.25">
      <c r="A25" s="37" t="s">
        <v>77</v>
      </c>
      <c r="B25" s="84">
        <f>B16*B15/8106.28</f>
        <v>0</v>
      </c>
      <c r="C25" s="86">
        <f>IF(B25&lt;=2.1,1,IF(AND(B25&gt;2.1,B25&lt;=2.6),2,"ERROR"))</f>
        <v>1</v>
      </c>
      <c r="E25" s="22"/>
    </row>
    <row r="26" spans="1:5" ht="17.25" customHeight="1" x14ac:dyDescent="0.25">
      <c r="A26" s="38" t="s">
        <v>78</v>
      </c>
      <c r="B26" s="87" t="str">
        <f>IF(AND(C11=1,C21=1,C25=1),"+60,00%",IF(AND(C11=1,C21=2,C25=1),"+35,00%",IF(AND(C11=1,C21=3,C25=1),"+20,00%",IF(AND(C11=1,C21=1,C25=2),"+20,00%",IF(AND(C11=1,C21=2,C25=2),"+10,00%",IF(AND(C11=1,C21=3,C25=2),"+10,00%",IF(AND(C11=2,C21=1,C25=1),"+60,00%",IF(AND(C11=2,C21=2,C25=1),"+35,00%",IF(AND(C11=2,C21=3,C25=1),"+20,00%",IF(AND(C11=2,C21=1,C25=2),"+20,00%",IF(AND(C11=2,C21=2,C25=2),"+10,00%",IF(AND(C11=2,C21=3,C25=2),"+10,00%","NO PROCEDE"))))))))))))</f>
        <v>NO PROCEDE</v>
      </c>
      <c r="C26" s="86"/>
      <c r="E26" s="22"/>
    </row>
    <row r="27" spans="1:5" ht="17.25" hidden="1" customHeight="1" x14ac:dyDescent="0.25">
      <c r="A27" s="38" t="s">
        <v>97</v>
      </c>
      <c r="B27" s="87" t="str">
        <f>IF(AND(C11=1,C21=1,C25=1),B22*1-B23,IF(AND(C11=1,C21=2,C25=1),B22*1-B23,IF(AND(C11=1,C21=3,C25=1),B22*1-B23,IF(AND(C11=1,C21=1,C25=2),B22*0.6-B23,IF(AND(C11=1,C21=2,C25=2),B22*0.75-B23,IF(AND(C11=1,C21=3,C25=2),B22*0.9-B23,IF(AND(C11=2,C21=1,C25=1),B22*1-B23,IF(AND(C11=2,C21=2,C25=1),B22*1-B23,IF(AND(C11=2,C21=3,C25=1),B22*1-B23,IF(AND(C11=2,C21=1,C25=2),B22*0.6-B23,IF(AND(C11=2,C21=2,C25=2),B22*0.75-B23,IF(AND(C11=2,C21=3,C25=2),B22*0.9-B23,"NO PROCEDE"))))))))))))</f>
        <v>NO PROCEDE</v>
      </c>
      <c r="C27" s="86"/>
      <c r="E27" s="22"/>
    </row>
    <row r="28" spans="1:5" ht="17.25" hidden="1" customHeight="1" x14ac:dyDescent="0.25">
      <c r="A28" s="38" t="s">
        <v>87</v>
      </c>
      <c r="B28" s="87" t="str">
        <f>IF(AND(C11=1,C21=1,C25=1),15750-B23,IF(AND(C11=1,C21=2,C25=1),17846.15-B23,IF(AND(C11=1,C21=3,C25=1),23500-B23,IF(AND(C11=1,C21=1,C25=2),9450-B23,IF(AND(C11=1,C21=2,C25=2),13384.61-B23,IF(AND(C11=1,C21=3,C25=2),21150-B23,IF(AND(C11=2,C21=1,C25=1),20250-B23,IF(AND(C11=2,C21=2,C25=1),22308-B23,IF(AND(C11=2,C21=3,C25=1),26750-B23,IF(AND(C11=2,C21=1,C25=2),12150-B23,IF(AND(C11=2,C21=2,C25=2),16731-B23,IF(AND(C11=2,C21=3,C25=2),24075-B23,"NO PROCEDE"))))))))))))</f>
        <v>NO PROCEDE</v>
      </c>
      <c r="C28" s="95"/>
      <c r="E28" s="22"/>
    </row>
    <row r="29" spans="1:5" ht="17.25" customHeight="1" thickBot="1" x14ac:dyDescent="0.3">
      <c r="A29" s="39" t="s">
        <v>79</v>
      </c>
      <c r="B29" s="106">
        <f>IF(B26&lt;&gt;"NO PROCEDE",MIN(B27,B28),0)</f>
        <v>0</v>
      </c>
      <c r="C29" s="86">
        <f>IF(B29="NO PROCEDE",1,2)</f>
        <v>2</v>
      </c>
      <c r="E29" s="22"/>
    </row>
    <row r="30" spans="1:5" ht="36" customHeight="1" x14ac:dyDescent="0.25">
      <c r="A30" s="107" t="s">
        <v>98</v>
      </c>
      <c r="B30" s="107"/>
      <c r="C30" s="41"/>
      <c r="D30" s="22"/>
    </row>
    <row r="32" spans="1:5" ht="18" x14ac:dyDescent="0.25">
      <c r="A32" s="40"/>
    </row>
  </sheetData>
  <sheetProtection algorithmName="SHA-512" hashValue="CZdTHxykZK+PO4xjDDztUGKClhABTau5026p3q0J+Tz+DeqphzRcUOcKrEjFTxmV4NYUR/p+dcEJ7Kh3JKKYog==" saltValue="zcB9b0ywD84xLFnHsSVpdg==" spinCount="100000" sheet="1" objects="1" scenarios="1" selectLockedCells="1"/>
  <mergeCells count="8">
    <mergeCell ref="A30:B30"/>
    <mergeCell ref="A7:B7"/>
    <mergeCell ref="A8:B8"/>
    <mergeCell ref="A17:B17"/>
    <mergeCell ref="A3:B3"/>
    <mergeCell ref="A5:B5"/>
    <mergeCell ref="A10:B10"/>
    <mergeCell ref="A11:B11"/>
  </mergeCells>
  <pageMargins left="0.7" right="0.7" top="0.75" bottom="0.75" header="0.3" footer="0.3"/>
  <pageSetup paperSize="9" orientation="portrait" r:id="rId1"/>
  <ignoredErrors>
    <ignoredError sqref="B15"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Full1!$A$14:$A$15</xm:f>
          </x14:formula1>
          <xm:sqref>A8:B8</xm:sqref>
        </x14:dataValidation>
        <x14:dataValidation type="list" allowBlank="1" showInputMessage="1" showErrorMessage="1">
          <x14:formula1>
            <xm:f>Full1!$A$35:$A$37</xm:f>
          </x14:formula1>
          <xm:sqref>A11:B11</xm:sqref>
        </x14:dataValidation>
        <x14:dataValidation type="list" allowBlank="1" showInputMessage="1" showErrorMessage="1">
          <x14:formula1>
            <xm:f>Full1!$A$40:$A$44</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showGridLines="0" workbookViewId="0">
      <selection activeCell="A8" sqref="A8:B8"/>
    </sheetView>
  </sheetViews>
  <sheetFormatPr baseColWidth="10" defaultColWidth="8.85546875" defaultRowHeight="15" x14ac:dyDescent="0.25"/>
  <cols>
    <col min="1" max="1" width="90.7109375" style="21" customWidth="1" collapsed="1"/>
    <col min="2" max="2" width="36.7109375" style="21" customWidth="1" collapsed="1"/>
    <col min="3" max="3" width="10.42578125" style="85" hidden="1" customWidth="1" collapsed="1"/>
    <col min="4" max="4" width="18.28515625" style="41" customWidth="1" collapsed="1"/>
    <col min="5" max="5" width="20.7109375" style="21" customWidth="1" collapsed="1"/>
    <col min="6" max="6" width="20.140625" style="21" customWidth="1" collapsed="1"/>
    <col min="7" max="7" width="21" style="21" customWidth="1" collapsed="1"/>
    <col min="8" max="8" width="13.7109375" style="21" customWidth="1" collapsed="1"/>
    <col min="9" max="9" width="10.42578125" style="21" customWidth="1" collapsed="1"/>
    <col min="10" max="10" width="11.7109375" style="21" customWidth="1" collapsed="1"/>
    <col min="11" max="11" width="8.85546875" style="21" collapsed="1"/>
    <col min="12" max="12" width="8.85546875" style="21"/>
    <col min="13" max="16384" width="8.85546875" style="21" collapsed="1"/>
  </cols>
  <sheetData>
    <row r="2" spans="1:10" ht="51" customHeight="1" x14ac:dyDescent="0.25">
      <c r="G2" s="23"/>
      <c r="H2" s="23"/>
      <c r="I2" s="24"/>
      <c r="J2" s="24"/>
    </row>
    <row r="3" spans="1:10" ht="51" customHeight="1" x14ac:dyDescent="0.25">
      <c r="A3" s="123" t="s">
        <v>100</v>
      </c>
      <c r="B3" s="123"/>
      <c r="C3" s="93"/>
      <c r="D3" s="42"/>
      <c r="E3" s="25"/>
      <c r="F3" s="26"/>
      <c r="G3" s="27"/>
      <c r="H3" s="27"/>
      <c r="I3" s="28"/>
      <c r="J3" s="28"/>
    </row>
    <row r="4" spans="1:10" ht="21" x14ac:dyDescent="0.25">
      <c r="A4" s="72" t="s">
        <v>72</v>
      </c>
      <c r="B4" s="73"/>
      <c r="C4" s="94"/>
      <c r="D4" s="43"/>
      <c r="E4" s="29"/>
    </row>
    <row r="5" spans="1:10" ht="21" x14ac:dyDescent="0.25">
      <c r="A5" s="111" t="s">
        <v>45</v>
      </c>
      <c r="B5" s="112"/>
    </row>
    <row r="6" spans="1:10" ht="15" customHeight="1" thickBot="1" x14ac:dyDescent="0.3"/>
    <row r="7" spans="1:10" ht="18.75" customHeight="1" x14ac:dyDescent="0.25">
      <c r="A7" s="117" t="s">
        <v>76</v>
      </c>
      <c r="B7" s="118"/>
    </row>
    <row r="8" spans="1:10" ht="36" customHeight="1" thickBot="1" x14ac:dyDescent="0.3">
      <c r="A8" s="119" t="s">
        <v>23</v>
      </c>
      <c r="B8" s="120"/>
      <c r="C8" s="97" t="str">
        <f>IF(A8="1. Vivienda habitual, alquilada o en espectativa de alquiler",1,IF(A8="2. Vivienda que forma parte de edificio de uso residencial que se rehabilita energéticamente",2,"ERROR"))</f>
        <v>ERROR</v>
      </c>
    </row>
    <row r="9" spans="1:10" ht="15" customHeight="1" thickBot="1" x14ac:dyDescent="0.3"/>
    <row r="10" spans="1:10" ht="18.75" x14ac:dyDescent="0.25">
      <c r="A10" s="117" t="s">
        <v>5</v>
      </c>
      <c r="B10" s="118"/>
    </row>
    <row r="11" spans="1:10" ht="36" customHeight="1" thickBot="1" x14ac:dyDescent="0.3">
      <c r="A11" s="119" t="s">
        <v>23</v>
      </c>
      <c r="B11" s="120"/>
      <c r="C11" s="85" t="str">
        <f>IF(A11="Reducción de la demanda combinada calefacción + refrigeración ≥ 7,00%",1,IF(A11="Reducción del consumo de energía primaria no renovable  ≥ 30,00%",2,IF(A11="Mejora calificación energética del inmueble obtieniendo clase A o B",3,"ERROR")))</f>
        <v>ERROR</v>
      </c>
    </row>
    <row r="12" spans="1:10" ht="15" customHeight="1" thickBot="1" x14ac:dyDescent="0.3"/>
    <row r="13" spans="1:10" ht="18.75" x14ac:dyDescent="0.25">
      <c r="A13" s="100" t="s">
        <v>99</v>
      </c>
      <c r="B13" s="32"/>
      <c r="E13" s="22"/>
    </row>
    <row r="14" spans="1:10" ht="15" customHeight="1" x14ac:dyDescent="0.25">
      <c r="A14" s="53" t="s">
        <v>102</v>
      </c>
      <c r="B14" s="90" t="str">
        <f>IF(AND(C8=1,C11=1),"Menos de 2 años antes de la actuación",IF(AND(C8=1,C11=2),"Menos de 2 años antes de la actuación",IF(AND(C8=1,C11=3),"Menos de 2 años antes de la actuación",IF(AND(C8=2,C11=1),"No Procede",IF(AND(C8=2,C11=2),"Menos de 2 años antes de la actuación",IF(AND(C8=2,C11=3),"Menos de 2 años antes de la actuación","No Procede"))))))</f>
        <v>No Procede</v>
      </c>
      <c r="E14" s="22"/>
    </row>
    <row r="15" spans="1:10" ht="15" customHeight="1" x14ac:dyDescent="0.25">
      <c r="A15" s="53" t="s">
        <v>101</v>
      </c>
      <c r="B15" s="90" t="str">
        <f>IF(AND(C8=1,C11=1),"Antes de  01/01/2023",IF(AND(C8=1,C11=2),"Antes de  01/01/2023",IF(AND(C8=1,C11=3),"Antes de  01/01/2023",IF(AND(C8=2,C11=1),"No Procede",IF(AND(C8=2,C11=2),"Antes 01/01/2024",IF(AND(C8=2,C11=3),"Antes 01/01/2024","No Procede"))))))</f>
        <v>No Procede</v>
      </c>
      <c r="E15" s="22"/>
    </row>
    <row r="16" spans="1:10" ht="15" customHeight="1" x14ac:dyDescent="0.25">
      <c r="A16" s="53" t="s">
        <v>108</v>
      </c>
      <c r="B16" s="98" t="str">
        <f>IF(AND(C8=1,C11=1),"Propietario del inmueble",IF(AND(C8=1,C11=2),"Propietario del inmueble",IF(AND(C8=1,C11=3),"Propietario del inmueble",IF(AND(C8=2,C11=1),"No Procede",IF(AND(C8=2,C11=2),"Propietario del inmueble",IF(AND(C8=2,C11=3),"Propietario del inmueble","No Procede"))))))</f>
        <v>No Procede</v>
      </c>
      <c r="E16" s="22"/>
    </row>
    <row r="17" spans="1:5" ht="15" customHeight="1" x14ac:dyDescent="0.25">
      <c r="A17" s="53" t="s">
        <v>103</v>
      </c>
      <c r="B17" s="90" t="str">
        <f>IF(AND(C8=1,C11=1),0.2,IF(AND(C8=1,C11=2),0.4,IF(AND(C8=1,C11=3),0.4,IF(AND(C8=2,C11=1),"No Procede",IF(AND(C8=2,C11=2),0.6,IF(AND(C8=2,C11=3),0.6,"No Procede"))))))</f>
        <v>No Procede</v>
      </c>
      <c r="E17" s="22"/>
    </row>
    <row r="18" spans="1:5" ht="15" customHeight="1" x14ac:dyDescent="0.25">
      <c r="A18" s="53" t="s">
        <v>104</v>
      </c>
      <c r="B18" s="90" t="str">
        <f>IF(AND(C8=1,C11=1),"5.000 €/año",IF(AND(C8=1,C11=2),"7,500 €/año",IF(AND(C8=1,C11=3),"7,500 €/año",IF(AND(C8=2,C11=1),"No Procede",IF(AND(C8=2,C11=2),"5.000 €/año sin superar 15.000 €",IF(AND(C8=2,C11=3),"5.000 €/año sin superar 15.000 €","No Procede"))))))</f>
        <v>No Procede</v>
      </c>
      <c r="E18" s="22"/>
    </row>
    <row r="19" spans="1:5" ht="15" customHeight="1" thickBot="1" x14ac:dyDescent="0.3">
      <c r="A19" s="61" t="s">
        <v>105</v>
      </c>
      <c r="B19" s="99" t="str">
        <f>IF(AND(C8=1,C11=1),"Año expedición CEE Reformado",IF(AND(C8=1,C11=2),"Año expedición CEE Reformado",IF(AND(C8=1,C11=3),"Año expedición CEE Reformado",IF(AND(C8=2,C11=1),"No Procede",IF(AND(C8=2,C11=2),"Año expedición CEE Reformado",IF(AND(C8=2,C11=3),"Año expedición CEE Reformado","No Procede"))))))</f>
        <v>No Procede</v>
      </c>
      <c r="E19" s="22"/>
    </row>
    <row r="20" spans="1:5" ht="15" customHeight="1" thickBot="1" x14ac:dyDescent="0.3">
      <c r="E20" s="22"/>
    </row>
    <row r="21" spans="1:5" ht="17.25" customHeight="1" x14ac:dyDescent="0.25">
      <c r="A21" s="37" t="s">
        <v>116</v>
      </c>
      <c r="B21" s="101" t="str">
        <f>IF('1. Calculadora de AYUDA - RR345'!B62&lt;&gt;0,'1. Calculadora de AYUDA - RR345'!B62/'1. Calculadora de AYUDA - RR345'!B15,"NO PROCEDE")</f>
        <v>NO PROCEDE</v>
      </c>
      <c r="E21" s="22"/>
    </row>
    <row r="22" spans="1:5" ht="17.25" hidden="1" customHeight="1" x14ac:dyDescent="0.25">
      <c r="A22" s="38" t="s">
        <v>119</v>
      </c>
      <c r="B22" s="87">
        <f>IF('2. Complemento VULNERABILIDAD'!C29=1,0,'2. Complemento VULNERABILIDAD'!B29)</f>
        <v>0</v>
      </c>
      <c r="E22" s="22"/>
    </row>
    <row r="23" spans="1:5" ht="17.25" customHeight="1" x14ac:dyDescent="0.25">
      <c r="A23" s="38" t="s">
        <v>107</v>
      </c>
      <c r="B23" s="87" t="str">
        <f>IF('1. Calculadora de AYUDA - RR345'!B62&lt;&gt;0,'2. Complemento VULNERABILIDAD'!B23+'2. Complemento VULNERABILIDAD'!B29,"NO PROCEDE")</f>
        <v>NO PROCEDE</v>
      </c>
      <c r="E23" s="22"/>
    </row>
    <row r="24" spans="1:5" ht="17.25" customHeight="1" x14ac:dyDescent="0.25">
      <c r="A24" s="38" t="s">
        <v>106</v>
      </c>
      <c r="B24" s="87" t="str">
        <f>IF('1. Calculadora de AYUDA - RR345'!B62&lt;&gt;0,B21-B23,"NO PROCEDE")</f>
        <v>NO PROCEDE</v>
      </c>
      <c r="E24" s="22"/>
    </row>
    <row r="25" spans="1:5" ht="17.25" hidden="1" customHeight="1" x14ac:dyDescent="0.25">
      <c r="A25" s="38" t="s">
        <v>110</v>
      </c>
      <c r="B25" s="87">
        <f>IF(B24&lt;&gt;"NO PROCEDE",B24*B17,0)</f>
        <v>0</v>
      </c>
      <c r="E25" s="22"/>
    </row>
    <row r="26" spans="1:5" ht="17.25" hidden="1" customHeight="1" x14ac:dyDescent="0.25">
      <c r="A26" s="38" t="s">
        <v>109</v>
      </c>
      <c r="B26" s="87" t="str">
        <f>IF(AND(C8=1,C11=1),5000,IF(AND(C8=1,C11=2),7500,IF(AND(C8=1,C11=3),7500,IF(AND(C8=2,C11=1),7500,IF(AND(C8=2,C11=2),15000,IF(AND(C8=2,C11=3),15000,"No Procede"))))))</f>
        <v>No Procede</v>
      </c>
      <c r="E26" s="22"/>
    </row>
    <row r="27" spans="1:5" ht="17.25" customHeight="1" thickBot="1" x14ac:dyDescent="0.3">
      <c r="A27" s="39" t="s">
        <v>111</v>
      </c>
      <c r="B27" s="88" t="str">
        <f>IF(AND(C8&lt;&gt;"ERROR",C11&lt;&gt;"ERROR"),MIN(B25,B26),"NO PROCEDE")</f>
        <v>NO PROCEDE</v>
      </c>
      <c r="C27" s="85">
        <f>IF(B27="NO PROCEDE",1,2)</f>
        <v>1</v>
      </c>
      <c r="E27" s="22"/>
    </row>
    <row r="28" spans="1:5" ht="36" customHeight="1" x14ac:dyDescent="0.25">
      <c r="A28" s="107" t="s">
        <v>98</v>
      </c>
      <c r="B28" s="107"/>
      <c r="C28" s="41"/>
      <c r="D28" s="22"/>
    </row>
    <row r="30" spans="1:5" ht="18" x14ac:dyDescent="0.25">
      <c r="A30" s="40"/>
    </row>
  </sheetData>
  <sheetProtection algorithmName="SHA-512" hashValue="ehPJ7IRcofnzcns/K7lhw8dUHwqZE9r6ENuT/Ac/iO+zpvqvk3JmcYLl7VlVrPQDmy/l3Q8Rr0wwFCBoF5vQgQ==" saltValue="61jcLZqknP5+Tn42ikbh9w==" spinCount="100000" sheet="1" objects="1" scenarios="1" selectLockedCells="1"/>
  <mergeCells count="7">
    <mergeCell ref="A28:B28"/>
    <mergeCell ref="A3:B3"/>
    <mergeCell ref="A5:B5"/>
    <mergeCell ref="A7:B7"/>
    <mergeCell ref="A8:B8"/>
    <mergeCell ref="A10:B10"/>
    <mergeCell ref="A11:B11"/>
  </mergeCells>
  <pageMargins left="0.7" right="0.7" top="0.75" bottom="0.75" header="0.3" footer="0.3"/>
  <pageSetup paperSize="9" orientation="portrait" r:id="rId1"/>
  <ignoredErrors>
    <ignoredError sqref="B24 B21 B26" unlockedFormula="1"/>
    <ignoredError sqref="B27" evalError="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Full1!$A$53:$A$55</xm:f>
          </x14:formula1>
          <xm:sqref>A8:B8</xm:sqref>
        </x14:dataValidation>
        <x14:dataValidation type="list" allowBlank="1" showInputMessage="1" showErrorMessage="1">
          <x14:formula1>
            <xm:f>Full1!$A$47:$A$50</xm:f>
          </x14:formula1>
          <xm:sqref>A11:B11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
  <sheetViews>
    <sheetView showGridLines="0" workbookViewId="0">
      <selection activeCell="B4" sqref="B4"/>
    </sheetView>
  </sheetViews>
  <sheetFormatPr baseColWidth="10" defaultColWidth="8.85546875" defaultRowHeight="15" x14ac:dyDescent="0.25"/>
  <cols>
    <col min="1" max="1" width="90.7109375" style="21" customWidth="1" collapsed="1"/>
    <col min="2" max="2" width="36.7109375" style="21" customWidth="1" collapsed="1"/>
    <col min="3" max="3" width="10.42578125" style="85" hidden="1" customWidth="1" collapsed="1"/>
    <col min="4" max="4" width="18.28515625" style="41" customWidth="1" collapsed="1"/>
    <col min="5" max="5" width="20.7109375" style="21" customWidth="1" collapsed="1"/>
    <col min="6" max="6" width="20.140625" style="21" customWidth="1" collapsed="1"/>
    <col min="7" max="7" width="21" style="21" customWidth="1" collapsed="1"/>
    <col min="8" max="8" width="13.7109375" style="21" customWidth="1" collapsed="1"/>
    <col min="9" max="9" width="10.42578125" style="21" customWidth="1" collapsed="1"/>
    <col min="10" max="10" width="11.7109375" style="21" customWidth="1" collapsed="1"/>
    <col min="11" max="11" width="8.85546875" style="21" collapsed="1"/>
    <col min="12" max="12" width="8.85546875" style="21"/>
    <col min="13" max="16384" width="8.85546875" style="21" collapsed="1"/>
  </cols>
  <sheetData>
    <row r="2" spans="1:10" ht="51" customHeight="1" x14ac:dyDescent="0.25">
      <c r="G2" s="23"/>
      <c r="H2" s="23"/>
      <c r="I2" s="24"/>
      <c r="J2" s="24"/>
    </row>
    <row r="3" spans="1:10" ht="51" customHeight="1" x14ac:dyDescent="0.25">
      <c r="A3" s="123" t="s">
        <v>112</v>
      </c>
      <c r="B3" s="123"/>
      <c r="C3" s="93"/>
      <c r="D3" s="42"/>
      <c r="E3" s="25"/>
      <c r="F3" s="26"/>
      <c r="G3" s="27"/>
      <c r="H3" s="27"/>
      <c r="I3" s="28"/>
      <c r="J3" s="28"/>
    </row>
    <row r="4" spans="1:10" ht="21" x14ac:dyDescent="0.25">
      <c r="A4" s="72" t="s">
        <v>72</v>
      </c>
      <c r="B4" s="73"/>
      <c r="C4" s="94"/>
      <c r="D4" s="43"/>
      <c r="E4" s="29"/>
    </row>
    <row r="5" spans="1:10" ht="15" customHeight="1" thickBot="1" x14ac:dyDescent="0.3">
      <c r="E5" s="22"/>
    </row>
    <row r="6" spans="1:10" ht="17.25" customHeight="1" x14ac:dyDescent="0.25">
      <c r="A6" s="102" t="s">
        <v>113</v>
      </c>
      <c r="B6" s="103">
        <f>IF('1. Calculadora de AYUDA - RR345'!B63&lt;&gt;0,'1. Calculadora de AYUDA - RR345'!B63/'1. Calculadora de AYUDA - RR345'!B15,0)</f>
        <v>0</v>
      </c>
      <c r="E6" s="22"/>
    </row>
    <row r="7" spans="1:10" ht="17.25" customHeight="1" x14ac:dyDescent="0.25">
      <c r="A7" s="104" t="s">
        <v>114</v>
      </c>
      <c r="B7" s="105">
        <f>IF('2. Complemento VULNERABILIDAD'!C29=1,0,'2. Complemento VULNERABILIDAD'!B29)</f>
        <v>0</v>
      </c>
      <c r="E7" s="22"/>
    </row>
    <row r="8" spans="1:10" ht="17.25" customHeight="1" x14ac:dyDescent="0.25">
      <c r="A8" s="104" t="s">
        <v>115</v>
      </c>
      <c r="B8" s="105">
        <f>IF('3. Deducciones Fiscales'!C27=1,0,'3. Deducciones Fiscales'!B27)</f>
        <v>0</v>
      </c>
      <c r="E8" s="22"/>
    </row>
    <row r="9" spans="1:10" ht="17.25" customHeight="1" thickBot="1" x14ac:dyDescent="0.3">
      <c r="A9" s="39" t="s">
        <v>117</v>
      </c>
      <c r="B9" s="88">
        <f>B6+B7+B8</f>
        <v>0</v>
      </c>
      <c r="E9" s="22"/>
    </row>
    <row r="10" spans="1:10" ht="36" customHeight="1" x14ac:dyDescent="0.25">
      <c r="A10" s="107" t="s">
        <v>98</v>
      </c>
      <c r="B10" s="107"/>
      <c r="C10" s="41"/>
      <c r="D10" s="22"/>
    </row>
    <row r="12" spans="1:10" ht="18" x14ac:dyDescent="0.25">
      <c r="A12" s="40"/>
    </row>
  </sheetData>
  <sheetProtection algorithmName="SHA-512" hashValue="GnbAroScy15z0MEraoCq8KUTF3Ra1y8n4cz5wFyCsgv9yTyq5f2okgXQVffoF+wWrkQE0TAwwnHVNpTWD7kt7Q==" saltValue="ySbMLU/b5q2BohMmH/nR1A==" spinCount="100000" sheet="1" objects="1" scenarios="1" selectLockedCells="1"/>
  <mergeCells count="2">
    <mergeCell ref="A10:B10"/>
    <mergeCell ref="A3:B3"/>
  </mergeCells>
  <pageMargins left="0.7" right="0.7" top="0.75" bottom="0.75" header="0.3" footer="0.3"/>
  <ignoredErrors>
    <ignoredError sqref="B9" evalError="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28" workbookViewId="0">
      <selection activeCell="A56" sqref="A56"/>
    </sheetView>
  </sheetViews>
  <sheetFormatPr baseColWidth="10" defaultColWidth="9.140625" defaultRowHeight="15" x14ac:dyDescent="0.25"/>
  <cols>
    <col min="1" max="1" width="70.28515625" customWidth="1" collapsed="1"/>
    <col min="2" max="2" width="63" customWidth="1" collapsed="1"/>
    <col min="3" max="3" width="9.5703125" bestFit="1" customWidth="1"/>
  </cols>
  <sheetData>
    <row r="1" spans="1:1" x14ac:dyDescent="0.25">
      <c r="A1" s="2" t="s">
        <v>4</v>
      </c>
    </row>
    <row r="2" spans="1:1" x14ac:dyDescent="0.25">
      <c r="A2" s="15" t="s">
        <v>23</v>
      </c>
    </row>
    <row r="3" spans="1:1" x14ac:dyDescent="0.25">
      <c r="A3" s="3" t="s">
        <v>0</v>
      </c>
    </row>
    <row r="4" spans="1:1" ht="15.75" thickBot="1" x14ac:dyDescent="0.3">
      <c r="A4" s="4" t="s">
        <v>1</v>
      </c>
    </row>
    <row r="5" spans="1:1" ht="15.75" thickBot="1" x14ac:dyDescent="0.3"/>
    <row r="6" spans="1:1" x14ac:dyDescent="0.25">
      <c r="A6" s="2" t="s">
        <v>30</v>
      </c>
    </row>
    <row r="7" spans="1:1" x14ac:dyDescent="0.25">
      <c r="A7" s="3" t="s">
        <v>23</v>
      </c>
    </row>
    <row r="8" spans="1:1" x14ac:dyDescent="0.25">
      <c r="A8" s="6" t="s">
        <v>27</v>
      </c>
    </row>
    <row r="9" spans="1:1" x14ac:dyDescent="0.25">
      <c r="A9" s="6" t="s">
        <v>28</v>
      </c>
    </row>
    <row r="10" spans="1:1" x14ac:dyDescent="0.25">
      <c r="A10" s="6" t="s">
        <v>29</v>
      </c>
    </row>
    <row r="11" spans="1:1" ht="15.75" thickBot="1" x14ac:dyDescent="0.3">
      <c r="A11" s="5" t="s">
        <v>24</v>
      </c>
    </row>
    <row r="12" spans="1:1" ht="15.75" thickBot="1" x14ac:dyDescent="0.3"/>
    <row r="13" spans="1:1" x14ac:dyDescent="0.25">
      <c r="A13" s="9" t="s">
        <v>5</v>
      </c>
    </row>
    <row r="14" spans="1:1" x14ac:dyDescent="0.25">
      <c r="A14" s="3" t="s">
        <v>23</v>
      </c>
    </row>
    <row r="15" spans="1:1" x14ac:dyDescent="0.25">
      <c r="A15" s="11" t="s">
        <v>14</v>
      </c>
    </row>
    <row r="16" spans="1:1" x14ac:dyDescent="0.25">
      <c r="A16" s="11" t="s">
        <v>15</v>
      </c>
    </row>
    <row r="17" spans="1:1" x14ac:dyDescent="0.25">
      <c r="A17" s="11" t="s">
        <v>21</v>
      </c>
    </row>
    <row r="18" spans="1:1" x14ac:dyDescent="0.25">
      <c r="A18" s="11" t="s">
        <v>16</v>
      </c>
    </row>
    <row r="19" spans="1:1" x14ac:dyDescent="0.25">
      <c r="A19" s="11" t="s">
        <v>17</v>
      </c>
    </row>
    <row r="20" spans="1:1" x14ac:dyDescent="0.25">
      <c r="A20" s="12" t="s">
        <v>22</v>
      </c>
    </row>
    <row r="21" spans="1:1" x14ac:dyDescent="0.25">
      <c r="A21" s="11" t="s">
        <v>19</v>
      </c>
    </row>
    <row r="22" spans="1:1" x14ac:dyDescent="0.25">
      <c r="A22" s="11" t="s">
        <v>20</v>
      </c>
    </row>
    <row r="23" spans="1:1" ht="15.75" thickBot="1" x14ac:dyDescent="0.3">
      <c r="A23" s="13" t="s">
        <v>18</v>
      </c>
    </row>
    <row r="24" spans="1:1" ht="15.75" thickBot="1" x14ac:dyDescent="0.3"/>
    <row r="25" spans="1:1" x14ac:dyDescent="0.25">
      <c r="A25" s="9" t="s">
        <v>6</v>
      </c>
    </row>
    <row r="26" spans="1:1" x14ac:dyDescent="0.25">
      <c r="A26" s="3" t="s">
        <v>23</v>
      </c>
    </row>
    <row r="27" spans="1:1" x14ac:dyDescent="0.25">
      <c r="A27" s="7" t="s">
        <v>8</v>
      </c>
    </row>
    <row r="28" spans="1:1" x14ac:dyDescent="0.25">
      <c r="A28" s="7" t="s">
        <v>9</v>
      </c>
    </row>
    <row r="29" spans="1:1" x14ac:dyDescent="0.25">
      <c r="A29" s="7" t="s">
        <v>10</v>
      </c>
    </row>
    <row r="30" spans="1:1" x14ac:dyDescent="0.25">
      <c r="A30" s="7" t="s">
        <v>11</v>
      </c>
    </row>
    <row r="31" spans="1:1" x14ac:dyDescent="0.25">
      <c r="A31" s="7" t="s">
        <v>12</v>
      </c>
    </row>
    <row r="32" spans="1:1" ht="15.75" thickBot="1" x14ac:dyDescent="0.3">
      <c r="A32" s="8" t="s">
        <v>13</v>
      </c>
    </row>
    <row r="33" spans="1:2" ht="15.75" thickBot="1" x14ac:dyDescent="0.3"/>
    <row r="34" spans="1:2" x14ac:dyDescent="0.25">
      <c r="A34" s="9" t="s">
        <v>76</v>
      </c>
    </row>
    <row r="35" spans="1:2" x14ac:dyDescent="0.25">
      <c r="A35" s="3" t="s">
        <v>23</v>
      </c>
    </row>
    <row r="36" spans="1:2" x14ac:dyDescent="0.25">
      <c r="A36" s="7" t="s">
        <v>80</v>
      </c>
    </row>
    <row r="37" spans="1:2" ht="15.75" thickBot="1" x14ac:dyDescent="0.3">
      <c r="A37" s="8" t="s">
        <v>85</v>
      </c>
    </row>
    <row r="38" spans="1:2" ht="15.75" thickBot="1" x14ac:dyDescent="0.3"/>
    <row r="39" spans="1:2" x14ac:dyDescent="0.25">
      <c r="A39" s="75" t="s">
        <v>83</v>
      </c>
      <c r="B39" s="76" t="s">
        <v>82</v>
      </c>
    </row>
    <row r="40" spans="1:2" x14ac:dyDescent="0.25">
      <c r="A40" s="77">
        <v>1</v>
      </c>
      <c r="B40" s="78">
        <v>1</v>
      </c>
    </row>
    <row r="41" spans="1:2" x14ac:dyDescent="0.25">
      <c r="A41" s="79">
        <v>2</v>
      </c>
      <c r="B41" s="78">
        <v>0.9</v>
      </c>
    </row>
    <row r="42" spans="1:2" x14ac:dyDescent="0.25">
      <c r="A42" s="79">
        <v>3</v>
      </c>
      <c r="B42" s="78">
        <v>0.8</v>
      </c>
    </row>
    <row r="43" spans="1:2" x14ac:dyDescent="0.25">
      <c r="A43" s="79">
        <v>4</v>
      </c>
      <c r="B43" s="78">
        <v>0.75</v>
      </c>
    </row>
    <row r="44" spans="1:2" ht="15.75" thickBot="1" x14ac:dyDescent="0.3">
      <c r="A44" s="80" t="s">
        <v>81</v>
      </c>
      <c r="B44" s="81">
        <v>0.7</v>
      </c>
    </row>
    <row r="45" spans="1:2" ht="15.75" thickBot="1" x14ac:dyDescent="0.3"/>
    <row r="46" spans="1:2" x14ac:dyDescent="0.25">
      <c r="A46" s="9" t="s">
        <v>94</v>
      </c>
    </row>
    <row r="47" spans="1:2" x14ac:dyDescent="0.25">
      <c r="A47" s="3" t="s">
        <v>23</v>
      </c>
    </row>
    <row r="48" spans="1:2" x14ac:dyDescent="0.25">
      <c r="A48" s="11" t="s">
        <v>91</v>
      </c>
    </row>
    <row r="49" spans="1:1" x14ac:dyDescent="0.25">
      <c r="A49" s="11" t="s">
        <v>92</v>
      </c>
    </row>
    <row r="50" spans="1:1" ht="15.75" thickBot="1" x14ac:dyDescent="0.3">
      <c r="A50" s="13" t="s">
        <v>93</v>
      </c>
    </row>
    <row r="51" spans="1:1" ht="15.75" thickBot="1" x14ac:dyDescent="0.3"/>
    <row r="52" spans="1:1" x14ac:dyDescent="0.25">
      <c r="A52" s="9" t="s">
        <v>95</v>
      </c>
    </row>
    <row r="53" spans="1:1" x14ac:dyDescent="0.25">
      <c r="A53" s="3" t="s">
        <v>23</v>
      </c>
    </row>
    <row r="54" spans="1:1" x14ac:dyDescent="0.25">
      <c r="A54" s="7" t="s">
        <v>96</v>
      </c>
    </row>
    <row r="55" spans="1:1" ht="15.75" thickBot="1" x14ac:dyDescent="0.3">
      <c r="A55" s="8" t="s">
        <v>118</v>
      </c>
    </row>
    <row r="56" spans="1:1" x14ac:dyDescent="0.25">
      <c r="A56" s="96"/>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 Calculadora de AYUDA - RR345</vt:lpstr>
      <vt:lpstr>2. Complemento VULNERABILIDAD</vt:lpstr>
      <vt:lpstr>3. Deducciones Fiscales</vt:lpstr>
      <vt:lpstr>4. Resumen AYUDAS RR345</vt:lpstr>
      <vt:lpstr>Full1</vt:lpstr>
      <vt:lpstr>'1. Calculadora de AYUDA - RR345'!Área_de_impresión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2022-09-27T08:23:41Z</dcterms:modified>
</cp:coreProperties>
</file>